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NJMicnLdEtxYSNcSQW/dcLt8IHdF1R0lFtRnVk7UsuMbE2jtUhkdstFDLHzGqnOgdikdIsz0Y7t3tPcLRFpVmw==" workbookSaltValue="cT2DzBEuP82VxP8CeQDj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13" i="7"/>
  <c r="E18" i="12"/>
  <c r="EL19" i="8"/>
  <c r="AP12" i="11"/>
  <c r="EN19" i="8"/>
  <c r="F12" i="21"/>
  <c r="G10" i="3"/>
  <c r="G12" i="12"/>
  <c r="BA13" i="16"/>
  <c r="J10" i="2"/>
  <c r="AP10" i="11"/>
  <c r="Y12" i="11"/>
  <c r="T10" i="21"/>
  <c r="D11" i="2"/>
  <c r="ES19" i="8"/>
  <c r="G18" i="12"/>
  <c r="C18" i="7"/>
  <c r="R8" i="9"/>
  <c r="X12" i="21" s="1"/>
  <c r="BM19" i="8"/>
  <c r="AL13" i="16"/>
  <c r="S13" i="16"/>
  <c r="V12" i="21"/>
  <c r="P13" i="16"/>
  <c r="AM13" i="20"/>
  <c r="H13" i="12"/>
  <c r="F13" i="7"/>
  <c r="T13" i="12"/>
  <c r="BI10" i="11"/>
  <c r="BJ11" i="11"/>
  <c r="BG15" i="11"/>
  <c r="T15" i="16"/>
  <c r="BV12" i="16"/>
  <c r="U10" i="17"/>
  <c r="S12" i="14"/>
  <c r="V12" i="14" s="1"/>
  <c r="S11" i="14"/>
  <c r="V11" i="14" s="1"/>
  <c r="BG12" i="11"/>
  <c r="BH10" i="11"/>
  <c r="AQ10" i="21"/>
  <c r="BJ10" i="11"/>
  <c r="BH11" i="11"/>
  <c r="T11" i="11"/>
  <c r="AQ12" i="21"/>
  <c r="BJ16" i="11"/>
  <c r="BL16" i="11"/>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BF15" i="8" l="1"/>
  <c r="AV18" i="21"/>
  <c r="BM18" i="16"/>
  <c r="I19" i="8"/>
  <c r="AC10" i="11"/>
  <c r="BG10" i="8"/>
  <c r="S19" i="8"/>
  <c r="C13" i="7"/>
  <c r="BF9" i="8"/>
  <c r="J9" i="7" s="1"/>
  <c r="BG9" i="8"/>
  <c r="B17" i="6"/>
  <c r="AN16" i="11"/>
  <c r="C11" i="6"/>
  <c r="I11" i="12" s="1"/>
  <c r="M18" i="2"/>
  <c r="AO9" i="11"/>
  <c r="AN12" i="11"/>
  <c r="D10" i="6"/>
  <c r="K9" i="7"/>
  <c r="E9" i="6"/>
  <c r="K9" i="12" s="1"/>
  <c r="AO17" i="11"/>
  <c r="AO15" i="11"/>
  <c r="AL16" i="11"/>
  <c r="BL12" i="11"/>
  <c r="V11" i="16"/>
  <c r="BJ17" i="11"/>
  <c r="AA9" i="16"/>
  <c r="L9" i="2"/>
  <c r="U9" i="17"/>
  <c r="U19" i="17" s="1"/>
  <c r="X10" i="21"/>
  <c r="L16" i="2"/>
  <c r="L15" i="2"/>
  <c r="L10" i="2"/>
  <c r="BK10" i="11"/>
  <c r="BH12" i="16"/>
  <c r="BH16" i="11"/>
  <c r="BG16" i="11"/>
  <c r="BK16" i="11"/>
  <c r="T12" i="11"/>
  <c r="BI9" i="11"/>
  <c r="Q17" i="17"/>
  <c r="T16" i="11"/>
  <c r="AZ12" i="11"/>
  <c r="BU16" i="17"/>
  <c r="BV11" i="16"/>
  <c r="BV17" i="16"/>
  <c r="BK17" i="11"/>
  <c r="BJ12" i="11"/>
  <c r="S16" i="14"/>
  <c r="V16" i="14" s="1"/>
  <c r="S9" i="17"/>
  <c r="BF16" i="11"/>
  <c r="BH15" i="16"/>
  <c r="BH9" i="16"/>
  <c r="F15" i="16"/>
  <c r="BL15" i="16" s="1"/>
  <c r="BE12" i="21"/>
  <c r="BE9" i="13"/>
  <c r="AL9" i="11"/>
  <c r="E11" i="6"/>
  <c r="BM9" i="11"/>
  <c r="S17" i="17"/>
  <c r="BF15" i="11"/>
  <c r="BM17" i="11"/>
  <c r="Q15" i="17"/>
  <c r="BH10" i="1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K20" i="20"/>
  <c r="U12" i="11"/>
  <c r="AN20" i="20"/>
  <c r="S20" i="20"/>
  <c r="N20" i="20"/>
  <c r="AD20" i="20"/>
  <c r="AZ20" i="20"/>
  <c r="G13" i="14"/>
  <c r="AA20" i="20"/>
  <c r="U16" i="11"/>
  <c r="K15" i="12" l="1"/>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M20" i="21"/>
  <c r="U20" i="11"/>
  <c r="W20" i="11"/>
  <c r="AL20" i="11"/>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V20" i="16"/>
  <c r="AB20" i="21"/>
  <c r="BQ20" i="16"/>
  <c r="AG20" i="16"/>
  <c r="AF20" i="17"/>
  <c r="BB20" i="16"/>
  <c r="F20" i="17"/>
  <c r="O20" i="21"/>
  <c r="P20" i="17"/>
  <c r="AB20" i="16"/>
  <c r="AW20" i="21"/>
  <c r="Q20" i="11"/>
  <c r="AL20" i="17"/>
  <c r="R20" i="21"/>
  <c r="AG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<sst xmlns="http://schemas.openxmlformats.org/spreadsheetml/2006/main" count="2094" uniqueCount="913">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</sst>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NBllvLXnWYBLQzhbqyxhbjryMc0WNu4m2SZgFh2z4YNtEkNJxOANW0gHY3fieUH974twOrI6ASkqZn1DUXAqA==" saltValue="p0koeSV1o3K2//KAmnw1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46.338002436053593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103</v>
      </c>
      <c r="D10" s="229">
        <f>IF(ISNUMBER(Datos!I10),Datos!I10," - ")</f>
        <v>92</v>
      </c>
      <c r="E10" s="230">
        <f>IF(ISNUMBER(Datos!J10),Datos!J10," - ")</f>
        <v>21</v>
      </c>
      <c r="F10" s="230">
        <f>IF(ISNUMBER(Datos!K10),Datos!K10," - ")</f>
        <v>26</v>
      </c>
      <c r="G10" s="1189" t="str">
        <f>IF(Datos!E10&lt;&gt;"",Datos!E10,Datos!D10)</f>
        <v>37</v>
      </c>
      <c r="H10" s="231">
        <f>IF(ISNUMBER(Datos!L10),Datos!L10," - ")</f>
        <v>98</v>
      </c>
      <c r="I10" s="1199" t="str">
        <f>IF(ISNUMBER(Datos!AS10/Datos!BM10),Datos!AS10/Datos!BM10," - ")</f>
        <v xml:space="preserve"> - </v>
      </c>
      <c r="J10" s="1200">
        <f>IF(ISNUMBER(Datos!BY10/Datos!CN10),Datos!BY10/Datos!CN10," - ")</f>
        <v>0</v>
      </c>
      <c r="K10" s="234">
        <f t="shared" ref="K10:K12" si="1">IF(ISNUMBER((E10-F10)/C10),(E10-F10)/C10," - ")</f>
        <v>-4.8543689320388349E-2</v>
      </c>
      <c r="L10" s="1201">
        <f>IF(ISNUMBER(NºAsuntos!I10/NºAsuntos!G10),(NºAsuntos!I10/NºAsuntos!G10)*11," - ")</f>
        <v>41.46153846153846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103</v>
      </c>
      <c r="D13" s="1206">
        <f>SUBTOTAL(9,D9:D12)</f>
        <v>92</v>
      </c>
      <c r="E13" s="1207">
        <f>SUBTOTAL(9,E9:E12)</f>
        <v>21</v>
      </c>
      <c r="F13" s="1208">
        <f>SUBTOTAL(9,F9:F12)</f>
        <v>26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1550</v>
      </c>
      <c r="D15" s="229">
        <f>IF(ISNUMBER(IF(D_I="SI",Datos!I15,Datos!I15+Datos!AC15)),IF(D_I="SI",Datos!I15,Datos!I15+Datos!AC15)," - ")</f>
        <v>1508</v>
      </c>
      <c r="E15" s="230">
        <f>IF(ISNUMBER(IF(D_I="SI",Datos!J15,Datos!J15+Datos!AD15)),IF(D_I="SI",Datos!J15,Datos!J15+Datos!AD15)," - ")</f>
        <v>3707</v>
      </c>
      <c r="F15" s="230">
        <f>IF(ISNUMBER(IF(D_I="SI",Datos!K15,Datos!K15+Datos!AE15)),IF(D_I="SI",Datos!K15,Datos!K15+Datos!AE15)," - ")</f>
        <v>3552</v>
      </c>
      <c r="G15" s="1189" t="str">
        <f>IF(Datos!E15&lt;&gt;"",Datos!E15,Datos!D15)</f>
        <v>03</v>
      </c>
      <c r="H15" s="231">
        <f>IF(ISNUMBER(IF(D_I="SI",Datos!L15,Datos!L15+Datos!AF15)),IF(D_I="SI",Datos!L15,Datos!L15+Datos!AF15)," - ")</f>
        <v>1705</v>
      </c>
      <c r="I15" s="1199" t="str">
        <f>IF(ISNUMBER(Datos!AS15/Datos!BM15),Datos!AS15/Datos!BM15," - ")</f>
        <v xml:space="preserve"> - </v>
      </c>
      <c r="J15" s="1200">
        <f>IF(ISNUMBER(Datos!BY15/Datos!CN15),Datos!BY15/Datos!CN15," - ")</f>
        <v>0</v>
      </c>
      <c r="K15" s="234">
        <f t="shared" ref="K15:K17" si="3">IF(ISNUMBER((E15-F15)/C15),(E15-F15)/C15," - ")</f>
        <v>0.1</v>
      </c>
      <c r="L15" s="1201">
        <f>IF(ISNUMBER(NºAsuntos!I15/NºAsuntos!G15),(NºAsuntos!I15/NºAsuntos!G15)*11," - ")</f>
        <v>5.2801238738738743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277</v>
      </c>
      <c r="D17" s="229">
        <f>IF(ISNUMBER(IF(D_I="SI",Datos!I17,Datos!I17+Datos!AC17)),IF(D_I="SI",Datos!I17,Datos!I17+Datos!AC17)," - ")</f>
        <v>275</v>
      </c>
      <c r="E17" s="230">
        <f>IF(ISNUMBER(IF(D_I="SI",Datos!J17,Datos!J17+Datos!AD17)),IF(D_I="SI",Datos!J17,Datos!J17+Datos!AD17)," - ")</f>
        <v>308</v>
      </c>
      <c r="F17" s="230">
        <f>IF(ISNUMBER(IF(D_I="SI",Datos!K17,Datos!K17+Datos!AE17)),IF(D_I="SI",Datos!K17,Datos!K17+Datos!AE17)," - ")</f>
        <v>319</v>
      </c>
      <c r="G17" s="1189" t="str">
        <f>IF(Datos!E17&lt;&gt;"",Datos!E17,Datos!D17)</f>
        <v>37</v>
      </c>
      <c r="H17" s="231">
        <f>IF(ISNUMBER(IF(D_I="SI",Datos!L17,Datos!L17+Datos!AF17)),IF(D_I="SI",Datos!L17,Datos!L17+Datos!AF17)," - ")</f>
        <v>266</v>
      </c>
      <c r="I17" s="1199" t="str">
        <f>IF(ISNUMBER(Datos!AS17/Datos!BM17),Datos!AS17/Datos!BM17," - ")</f>
        <v xml:space="preserve"> - </v>
      </c>
      <c r="J17" s="1200" t="str">
        <f>IF(ISNUMBER((Datos!BY17+Datos!BZ17)/Datos!CN17),(Datos!BY17+Datos!BZ17)/Datos!CN17," - ")</f>
        <v xml:space="preserve"> - </v>
      </c>
      <c r="K17" s="234">
        <f t="shared" si="3"/>
        <v>-3.9711191335740074E-2</v>
      </c>
      <c r="L17" s="1201">
        <f>IF(ISNUMBER(NºAsuntos!I17/NºAsuntos!G17),(NºAsuntos!I17/NºAsuntos!G17)*11," - ")</f>
        <v>9.1724137931034484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1827</v>
      </c>
      <c r="D18" s="1206">
        <f>SUBTOTAL(9,D15:D17)</f>
        <v>1783</v>
      </c>
      <c r="E18" s="1207">
        <f>SUBTOTAL(9,E15:E17)</f>
        <v>4015</v>
      </c>
      <c r="F18" s="1207">
        <f>SUBTOTAL(9,F15:F17)</f>
        <v>3871</v>
      </c>
      <c r="G18" s="1209" t="str">
        <f ca="1">INDIRECT(CONCATENATE("G",ROW()-1))</f>
        <v>37</v>
      </c>
      <c r="H18" s="1210">
        <f ca="1">SUMIF(G$14:G17,G18,H$14:H17)</f>
        <v>266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1930</v>
      </c>
      <c r="D19" s="1228">
        <f>SUBTOTAL(9,D9:D18)</f>
        <v>1875</v>
      </c>
      <c r="E19" s="1229">
        <f>SUBTOTAL(9,E9:E18)</f>
        <v>4036</v>
      </c>
      <c r="F19" s="1229">
        <f>SUBTOTAL(9,F9:F18)</f>
        <v>3897</v>
      </c>
      <c r="G19" s="1230"/>
      <c r="H19" s="1231">
        <f ca="1">SUMIF(B9:B18,"TOTAL",H9:H18)</f>
        <v>266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VBJAEwTvnIFCvwoeYQWaOLZBysVWRI/+mtPGiGD7XXJBjLLFFORtVf422JvtPoShH2BkuR9bJ/0ggjBiHzlOQ==" saltValue="JP3AENboLoXI28OjFzTa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7SiEK5zOtcHcJFrUrMEzHvMBY72MvpCxcoKdmj6mKu4tpSuFI8du334BhYxu+a5ff4B+PX2+dnJMALItBnRQA==" saltValue="jPJGC/W1HDZXhpLoF8c3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5949</v>
      </c>
      <c r="J9" s="185">
        <v>2455</v>
      </c>
      <c r="K9" s="185">
        <v>1557</v>
      </c>
      <c r="L9" s="185">
        <v>6847</v>
      </c>
      <c r="M9" s="185">
        <v>335</v>
      </c>
      <c r="N9" s="185">
        <v>761</v>
      </c>
      <c r="O9" s="185">
        <v>756</v>
      </c>
      <c r="P9" s="185">
        <v>451</v>
      </c>
      <c r="Q9" s="185">
        <v>639</v>
      </c>
      <c r="R9" s="185">
        <v>7270</v>
      </c>
      <c r="S9" s="185">
        <v>4834</v>
      </c>
      <c r="T9" s="185">
        <v>1843</v>
      </c>
      <c r="U9" s="185">
        <v>1853</v>
      </c>
      <c r="V9" s="185">
        <v>5141</v>
      </c>
      <c r="W9" s="185">
        <v>354</v>
      </c>
      <c r="X9" s="192">
        <v>859</v>
      </c>
      <c r="Y9" s="195">
        <v>46</v>
      </c>
      <c r="Z9" s="185">
        <v>109</v>
      </c>
      <c r="AA9" s="185">
        <v>85</v>
      </c>
      <c r="AB9" s="185">
        <v>70</v>
      </c>
      <c r="AC9" s="185">
        <v>0</v>
      </c>
      <c r="AD9" s="185">
        <v>0</v>
      </c>
      <c r="AE9" s="185">
        <v>0</v>
      </c>
      <c r="AF9" s="192">
        <v>0</v>
      </c>
      <c r="AG9" s="195">
        <v>103</v>
      </c>
      <c r="AH9" s="185">
        <v>124</v>
      </c>
      <c r="AI9" s="185">
        <v>142</v>
      </c>
      <c r="AJ9" s="196">
        <v>68</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4937</v>
      </c>
      <c r="AZ9" s="124">
        <f>IF(ISNUMBER(IF(J_V="SI",T9,T9+AH9)),IF(J_V="SI",T9,T9+AH9)," - ")</f>
        <v>1967</v>
      </c>
      <c r="BA9" s="125">
        <f>IF(ISNUMBER(IF(J_V="SI",U9,U9+AI9)),IF(J_V="SI",U9,U9+AI9)," - ")</f>
        <v>1995</v>
      </c>
      <c r="BB9" s="125">
        <f>IF(ISNUMBER(IF(J_V="SI",V9,V9+AJ9)),IF(J_V="SI",V9,V9+AJ9)," - ")</f>
        <v>5209</v>
      </c>
      <c r="BC9" s="126">
        <f>IF(ISNUMBER(X9),X9," - ")</f>
        <v>859</v>
      </c>
      <c r="BD9" s="127">
        <f>IF(ISNUMBER(BA9/AZ9),BA9/AZ9," - ")</f>
        <v>1.0142348754448398</v>
      </c>
      <c r="BE9" s="128">
        <f>IF(ISNUMBER(BB9/BA9),BB9/BA9, " - ")</f>
        <v>2.6110275689223057</v>
      </c>
      <c r="BF9" s="128">
        <f>IF(ISNUMBER(BC9/BA9),BC9/BA9, " - ")</f>
        <v>0.43057644110275689</v>
      </c>
      <c r="BG9" s="200">
        <f>IF(ISNUMBER((AY9+AZ9)/BA9),(AY9+AZ9)/BA9," - ")</f>
        <v>3.4606516290726819</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92</v>
      </c>
      <c r="J10" s="185">
        <v>21</v>
      </c>
      <c r="K10" s="185">
        <v>26</v>
      </c>
      <c r="L10" s="185">
        <v>98</v>
      </c>
      <c r="M10" s="185">
        <v>11</v>
      </c>
      <c r="N10" s="185">
        <v>16</v>
      </c>
      <c r="O10" s="185">
        <v>8</v>
      </c>
      <c r="P10" s="185">
        <v>5</v>
      </c>
      <c r="Q10" s="185">
        <v>9</v>
      </c>
      <c r="R10" s="185">
        <v>83</v>
      </c>
      <c r="S10" s="185">
        <v>119</v>
      </c>
      <c r="T10" s="185">
        <v>35</v>
      </c>
      <c r="U10" s="185">
        <v>19</v>
      </c>
      <c r="V10" s="185">
        <v>121</v>
      </c>
      <c r="W10" s="185">
        <v>6</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119</v>
      </c>
      <c r="AZ10" s="130">
        <f t="shared" si="0"/>
        <v>35</v>
      </c>
      <c r="BA10" s="130">
        <f t="shared" si="0"/>
        <v>19</v>
      </c>
      <c r="BB10" s="130">
        <f t="shared" si="0"/>
        <v>121</v>
      </c>
      <c r="BC10" s="126">
        <f t="shared" si="0"/>
        <v>6</v>
      </c>
      <c r="BD10" s="127">
        <f>IF(ISNUMBER(BA10/AZ10),BA10/AZ10," - ")</f>
        <v>0.54285714285714282</v>
      </c>
      <c r="BE10" s="128">
        <f>IF(ISNUMBER(BB10/BA10),BB10/BA10, " - ")</f>
        <v>6.3684210526315788</v>
      </c>
      <c r="BF10" s="128">
        <f>IF(ISNUMBER(BC10/BA10),BC10/BA10, " - ")</f>
        <v>0.31578947368421051</v>
      </c>
      <c r="BG10" s="200">
        <f>IF(ISNUMBER((AY10+AZ10)/BA10),(AY10+AZ10)/BA10," - ")</f>
        <v>8.1052631578947363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6041</v>
      </c>
      <c r="J13" s="188">
        <f t="shared" si="6"/>
        <v>2476</v>
      </c>
      <c r="K13" s="188">
        <f t="shared" si="6"/>
        <v>1583</v>
      </c>
      <c r="L13" s="188">
        <f t="shared" si="6"/>
        <v>6945</v>
      </c>
      <c r="M13" s="188">
        <f t="shared" si="6"/>
        <v>346</v>
      </c>
      <c r="N13" s="188">
        <f t="shared" si="6"/>
        <v>777</v>
      </c>
      <c r="O13" s="188">
        <f t="shared" si="6"/>
        <v>764</v>
      </c>
      <c r="P13" s="188">
        <f t="shared" si="6"/>
        <v>456</v>
      </c>
      <c r="Q13" s="188">
        <f t="shared" si="6"/>
        <v>648</v>
      </c>
      <c r="R13" s="188">
        <f t="shared" si="6"/>
        <v>7353</v>
      </c>
      <c r="S13" s="188">
        <f t="shared" si="6"/>
        <v>4953</v>
      </c>
      <c r="T13" s="188">
        <f t="shared" si="6"/>
        <v>1878</v>
      </c>
      <c r="U13" s="188">
        <f t="shared" si="6"/>
        <v>1872</v>
      </c>
      <c r="V13" s="188">
        <f t="shared" si="6"/>
        <v>5262</v>
      </c>
      <c r="W13" s="188">
        <f t="shared" si="6"/>
        <v>360</v>
      </c>
      <c r="X13" s="188">
        <f t="shared" si="6"/>
        <v>868</v>
      </c>
      <c r="Y13" s="188">
        <f t="shared" si="6"/>
        <v>46</v>
      </c>
      <c r="Z13" s="188">
        <f t="shared" si="6"/>
        <v>109</v>
      </c>
      <c r="AA13" s="188">
        <f t="shared" si="6"/>
        <v>85</v>
      </c>
      <c r="AB13" s="188">
        <f t="shared" si="6"/>
        <v>70</v>
      </c>
      <c r="AC13" s="188">
        <f t="shared" si="6"/>
        <v>0</v>
      </c>
      <c r="AD13" s="188">
        <f t="shared" si="6"/>
        <v>0</v>
      </c>
      <c r="AE13" s="188">
        <f t="shared" si="6"/>
        <v>0</v>
      </c>
      <c r="AF13" s="188">
        <f>SUBTOTAL(9,AF9:AF12)</f>
        <v>0</v>
      </c>
      <c r="AG13" s="188">
        <f t="shared" ref="AG13:AT13" si="7">SUBTOTAL(9,AG8:AG12)</f>
        <v>103</v>
      </c>
      <c r="AH13" s="188">
        <f t="shared" si="7"/>
        <v>124</v>
      </c>
      <c r="AI13" s="188">
        <f t="shared" si="7"/>
        <v>142</v>
      </c>
      <c r="AJ13" s="188">
        <f t="shared" si="7"/>
        <v>68</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5056</v>
      </c>
      <c r="AZ13" s="188">
        <f>SUBTOTAL(9,AZ8:AZ12)</f>
        <v>2002</v>
      </c>
      <c r="BA13" s="188">
        <f>SUBTOTAL(9,BA8:BA12)</f>
        <v>2014</v>
      </c>
      <c r="BB13" s="188">
        <f>SUBTOTAL(9,BB8:BB12)</f>
        <v>5330</v>
      </c>
      <c r="BC13" s="188">
        <f>SUBTOTAL(9,BC8:BC12)</f>
        <v>865</v>
      </c>
      <c r="BD13" s="209">
        <f>IF(ISNUMBER(BA13/AZ13),BA13/AZ13," - ")</f>
        <v>1.005994005994006</v>
      </c>
      <c r="BE13" s="210">
        <f>IF(ISNUMBER(BB13/BA13),BB13/BA13, " - ")</f>
        <v>2.6464746772591856</v>
      </c>
      <c r="BF13" s="210">
        <f>IF(ISNUMBER(BC13/BA13),BC13/BA13, " - ")</f>
        <v>0.42949354518371402</v>
      </c>
      <c r="BG13" s="211">
        <f>IF(ISNUMBER((AY13+AZ13)/BA13),(AY13+AZ13)/BA13," - ")</f>
        <v>3.5044687189672294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1508</v>
      </c>
      <c r="J15" s="187">
        <v>3707</v>
      </c>
      <c r="K15" s="187">
        <v>3552</v>
      </c>
      <c r="L15" s="187">
        <v>1705</v>
      </c>
      <c r="M15" s="187">
        <v>298</v>
      </c>
      <c r="N15" s="187">
        <v>2441</v>
      </c>
      <c r="O15" s="185">
        <v>82</v>
      </c>
      <c r="P15" s="187">
        <v>106</v>
      </c>
      <c r="Q15" s="187">
        <v>87</v>
      </c>
      <c r="R15" s="187">
        <v>304</v>
      </c>
      <c r="S15" s="187">
        <v>1200</v>
      </c>
      <c r="T15" s="187">
        <v>3349</v>
      </c>
      <c r="U15" s="187">
        <v>3233</v>
      </c>
      <c r="V15" s="187">
        <v>1379</v>
      </c>
      <c r="W15" s="187">
        <v>323</v>
      </c>
      <c r="X15" s="193">
        <v>2170</v>
      </c>
      <c r="Y15" s="206">
        <v>0</v>
      </c>
      <c r="Z15" s="187">
        <v>0</v>
      </c>
      <c r="AA15" s="187">
        <v>0</v>
      </c>
      <c r="AB15" s="187">
        <v>0</v>
      </c>
      <c r="AC15" s="187">
        <v>0</v>
      </c>
      <c r="AD15" s="187">
        <v>5</v>
      </c>
      <c r="AE15" s="187">
        <v>5</v>
      </c>
      <c r="AF15" s="193">
        <v>0</v>
      </c>
      <c r="AG15" s="206">
        <v>0</v>
      </c>
      <c r="AH15" s="187">
        <v>0</v>
      </c>
      <c r="AI15" s="187">
        <v>0</v>
      </c>
      <c r="AJ15" s="207">
        <v>0</v>
      </c>
      <c r="AK15" s="186">
        <v>0</v>
      </c>
      <c r="AL15" s="187">
        <v>13</v>
      </c>
      <c r="AM15" s="187">
        <v>4</v>
      </c>
      <c r="AN15" s="193">
        <v>9</v>
      </c>
      <c r="AO15" s="263">
        <v>4</v>
      </c>
      <c r="AP15" s="159">
        <v>4</v>
      </c>
      <c r="AQ15" s="159">
        <v>4</v>
      </c>
      <c r="AR15" s="159">
        <v>4</v>
      </c>
      <c r="AS15" s="349" t="s">
        <v>531</v>
      </c>
      <c r="AT15" s="207" t="s">
        <v>329</v>
      </c>
      <c r="AU15" s="206"/>
      <c r="AV15" s="207"/>
      <c r="AW15" s="206"/>
      <c r="AX15" s="207"/>
      <c r="AY15" s="129">
        <f t="shared" ref="AY15:BB16" si="9">IF(ISNUMBER(IF(D_I="SI",S15,S15+AK15)),IF(D_I="SI",S15,S15+AK15)," - ")</f>
        <v>1200</v>
      </c>
      <c r="AZ15" s="130">
        <f t="shared" si="9"/>
        <v>3349</v>
      </c>
      <c r="BA15" s="130">
        <f t="shared" si="9"/>
        <v>3233</v>
      </c>
      <c r="BB15" s="130">
        <f t="shared" si="9"/>
        <v>1379</v>
      </c>
      <c r="BC15" s="126">
        <f>IF(ISNUMBER(W15),W15," - ")</f>
        <v>323</v>
      </c>
      <c r="BD15" s="127">
        <f>IF(ISNUMBER(BA15/AZ15),BA15/AZ15," - ")</f>
        <v>0.96536279486413856</v>
      </c>
      <c r="BE15" s="128">
        <f>IF(ISNUMBER(BB15/BA15),BB15/BA15, " - ")</f>
        <v>0.42653881843489022</v>
      </c>
      <c r="BF15" s="128">
        <f>IF(ISNUMBER(BC15/BA15),BC15/BA15, " - ")</f>
        <v>9.9907206928549333E-2</v>
      </c>
      <c r="BG15" s="200">
        <f t="shared" ref="BG15:BG16" si="10">IF(ISNUMBER((AY15+AZ15)/BA15),(AY15+AZ15)/BA15," - ")</f>
        <v>1.4070522734302506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275</v>
      </c>
      <c r="J17" s="187">
        <v>308</v>
      </c>
      <c r="K17" s="187">
        <v>319</v>
      </c>
      <c r="L17" s="187">
        <v>266</v>
      </c>
      <c r="M17" s="187">
        <v>18</v>
      </c>
      <c r="N17" s="187">
        <v>196</v>
      </c>
      <c r="O17" s="187">
        <v>0</v>
      </c>
      <c r="P17" s="187">
        <v>0</v>
      </c>
      <c r="Q17" s="187">
        <v>2</v>
      </c>
      <c r="R17" s="187">
        <v>3</v>
      </c>
      <c r="S17" s="187">
        <v>279</v>
      </c>
      <c r="T17" s="187">
        <v>292</v>
      </c>
      <c r="U17" s="187">
        <v>270</v>
      </c>
      <c r="V17" s="187">
        <v>305</v>
      </c>
      <c r="W17" s="187">
        <v>20</v>
      </c>
      <c r="X17" s="193">
        <v>144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279</v>
      </c>
      <c r="AZ17" s="130">
        <f t="shared" si="14"/>
        <v>292</v>
      </c>
      <c r="BA17" s="130">
        <f t="shared" si="14"/>
        <v>270</v>
      </c>
      <c r="BB17" s="130">
        <f t="shared" si="14"/>
        <v>305</v>
      </c>
      <c r="BC17" s="126">
        <f>IF(ISNUMBER(W17),W17," - ")</f>
        <v>20</v>
      </c>
      <c r="BD17" s="127">
        <f>IF(ISNUMBER(BA17/AZ17),BA17/AZ17," - ")</f>
        <v>0.92465753424657537</v>
      </c>
      <c r="BE17" s="128">
        <f>IF(ISNUMBER(BB17/BA17),BB17/BA17, " - ")</f>
        <v>1.1296296296296295</v>
      </c>
      <c r="BF17" s="128">
        <f>IF(ISNUMBER(BC17/BA17),BC17/BA17, " - ")</f>
        <v>7.407407407407407E-2</v>
      </c>
      <c r="BG17" s="200">
        <f>IF(ISNUMBER((AY17+AZ17)/BA17),(AY17+AZ17)/BA17," - ")</f>
        <v>2.1148148148148147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1783</v>
      </c>
      <c r="J18" s="188">
        <f t="shared" si="15"/>
        <v>4015</v>
      </c>
      <c r="K18" s="188">
        <f t="shared" si="15"/>
        <v>3871</v>
      </c>
      <c r="L18" s="188">
        <f t="shared" si="15"/>
        <v>1971</v>
      </c>
      <c r="M18" s="188">
        <f t="shared" si="15"/>
        <v>316</v>
      </c>
      <c r="N18" s="188">
        <f t="shared" si="15"/>
        <v>2637</v>
      </c>
      <c r="O18" s="188">
        <f t="shared" si="15"/>
        <v>82</v>
      </c>
      <c r="P18" s="188">
        <f t="shared" si="15"/>
        <v>106</v>
      </c>
      <c r="Q18" s="188">
        <f t="shared" si="15"/>
        <v>89</v>
      </c>
      <c r="R18" s="188">
        <f t="shared" si="15"/>
        <v>307</v>
      </c>
      <c r="S18" s="188">
        <f t="shared" si="15"/>
        <v>1479</v>
      </c>
      <c r="T18" s="188">
        <f t="shared" si="15"/>
        <v>3641</v>
      </c>
      <c r="U18" s="188">
        <f t="shared" si="15"/>
        <v>3503</v>
      </c>
      <c r="V18" s="188">
        <f t="shared" si="15"/>
        <v>1684</v>
      </c>
      <c r="W18" s="188">
        <f t="shared" si="15"/>
        <v>343</v>
      </c>
      <c r="X18" s="188">
        <f t="shared" si="15"/>
        <v>2314</v>
      </c>
      <c r="Y18" s="188">
        <f t="shared" si="15"/>
        <v>0</v>
      </c>
      <c r="Z18" s="188">
        <f t="shared" si="15"/>
        <v>0</v>
      </c>
      <c r="AA18" s="188">
        <f t="shared" si="15"/>
        <v>0</v>
      </c>
      <c r="AB18" s="188">
        <f t="shared" si="15"/>
        <v>0</v>
      </c>
      <c r="AC18" s="188">
        <f t="shared" si="15"/>
        <v>0</v>
      </c>
      <c r="AD18" s="188">
        <f t="shared" si="15"/>
        <v>5</v>
      </c>
      <c r="AE18" s="188">
        <f t="shared" si="15"/>
        <v>5</v>
      </c>
      <c r="AF18" s="188">
        <f t="shared" si="15"/>
        <v>0</v>
      </c>
      <c r="AG18" s="188">
        <f t="shared" si="15"/>
        <v>0</v>
      </c>
      <c r="AH18" s="188">
        <f t="shared" si="15"/>
        <v>0</v>
      </c>
      <c r="AI18" s="188">
        <f t="shared" si="15"/>
        <v>0</v>
      </c>
      <c r="AJ18" s="188">
        <f t="shared" si="15"/>
        <v>0</v>
      </c>
      <c r="AK18" s="188">
        <f t="shared" si="15"/>
        <v>0</v>
      </c>
      <c r="AL18" s="188">
        <f t="shared" si="15"/>
        <v>13</v>
      </c>
      <c r="AM18" s="188">
        <f t="shared" si="15"/>
        <v>4</v>
      </c>
      <c r="AN18" s="188">
        <f t="shared" si="15"/>
        <v>9</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1479</v>
      </c>
      <c r="AZ18" s="188">
        <f>SUBTOTAL(9,AZ14:AZ17)</f>
        <v>3641</v>
      </c>
      <c r="BA18" s="188">
        <f>SUBTOTAL(9,BA14:BA17)</f>
        <v>3503</v>
      </c>
      <c r="BB18" s="188">
        <f>SUBTOTAL(9,BB14:BB17)</f>
        <v>1684</v>
      </c>
      <c r="BC18" s="188">
        <f>SUBTOTAL(9,BC14:BC17)</f>
        <v>343</v>
      </c>
      <c r="BD18" s="209">
        <f>IF(ISNUMBER(BA18/AZ18),BA18/AZ18," - ")</f>
        <v>0.96209832463608902</v>
      </c>
      <c r="BE18" s="210">
        <f>IF(ISNUMBER(BB18/BA18),BB18/BA18, " - ")</f>
        <v>0.48073080216956893</v>
      </c>
      <c r="BF18" s="210">
        <f>IF(ISNUMBER(BC18/BA18),BC18/BA18, " - ")</f>
        <v>9.7916071938338567E-2</v>
      </c>
      <c r="BG18" s="211">
        <f>IF(ISNUMBER((AY18+AZ18)/BA18),(AY18+AZ18)/BA18," - ")</f>
        <v>1.4616043391378819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7824</v>
      </c>
      <c r="J19" s="135">
        <f t="shared" si="18"/>
        <v>6491</v>
      </c>
      <c r="K19" s="135">
        <f t="shared" si="18"/>
        <v>5454</v>
      </c>
      <c r="L19" s="135">
        <f t="shared" si="18"/>
        <v>8916</v>
      </c>
      <c r="M19" s="135">
        <f t="shared" si="18"/>
        <v>662</v>
      </c>
      <c r="N19" s="135">
        <f t="shared" si="18"/>
        <v>3414</v>
      </c>
      <c r="O19" s="135">
        <f t="shared" si="18"/>
        <v>846</v>
      </c>
      <c r="P19" s="135">
        <f t="shared" si="18"/>
        <v>562</v>
      </c>
      <c r="Q19" s="135">
        <f t="shared" si="18"/>
        <v>737</v>
      </c>
      <c r="R19" s="135">
        <f t="shared" si="18"/>
        <v>7660</v>
      </c>
      <c r="S19" s="135">
        <f t="shared" si="18"/>
        <v>6432</v>
      </c>
      <c r="T19" s="135">
        <f t="shared" si="18"/>
        <v>5519</v>
      </c>
      <c r="U19" s="135">
        <f t="shared" si="18"/>
        <v>5375</v>
      </c>
      <c r="V19" s="135">
        <f t="shared" si="18"/>
        <v>6946</v>
      </c>
      <c r="W19" s="135">
        <f t="shared" si="18"/>
        <v>703</v>
      </c>
      <c r="X19" s="135">
        <f t="shared" si="18"/>
        <v>3182</v>
      </c>
      <c r="Y19" s="135">
        <f t="shared" si="18"/>
        <v>46</v>
      </c>
      <c r="Z19" s="135">
        <f t="shared" si="18"/>
        <v>109</v>
      </c>
      <c r="AA19" s="135">
        <f t="shared" si="18"/>
        <v>85</v>
      </c>
      <c r="AB19" s="135">
        <f t="shared" si="18"/>
        <v>70</v>
      </c>
      <c r="AC19" s="135">
        <f t="shared" si="18"/>
        <v>0</v>
      </c>
      <c r="AD19" s="135">
        <f t="shared" si="18"/>
        <v>5</v>
      </c>
      <c r="AE19" s="135">
        <f t="shared" si="18"/>
        <v>5</v>
      </c>
      <c r="AF19" s="135">
        <f t="shared" si="18"/>
        <v>0</v>
      </c>
      <c r="AG19" s="135">
        <f t="shared" si="18"/>
        <v>103</v>
      </c>
      <c r="AH19" s="135">
        <f t="shared" si="18"/>
        <v>124</v>
      </c>
      <c r="AI19" s="135">
        <f t="shared" si="18"/>
        <v>142</v>
      </c>
      <c r="AJ19" s="135">
        <f t="shared" si="18"/>
        <v>68</v>
      </c>
      <c r="AK19" s="135">
        <f t="shared" si="18"/>
        <v>0</v>
      </c>
      <c r="AL19" s="135">
        <f t="shared" si="18"/>
        <v>13</v>
      </c>
      <c r="AM19" s="135">
        <f t="shared" si="18"/>
        <v>4</v>
      </c>
      <c r="AN19" s="214">
        <f t="shared" si="18"/>
        <v>9</v>
      </c>
      <c r="AO19" s="215">
        <v>10</v>
      </c>
      <c r="AP19" s="215">
        <v>10</v>
      </c>
      <c r="AQ19" s="215">
        <v>10</v>
      </c>
      <c r="AR19" s="215">
        <v>10</v>
      </c>
      <c r="AS19" s="157">
        <f t="shared" si="18"/>
        <v>0</v>
      </c>
      <c r="AT19" s="157">
        <f t="shared" si="18"/>
        <v>0</v>
      </c>
      <c r="AU19" s="215"/>
      <c r="AV19" s="216"/>
      <c r="AW19" s="215"/>
      <c r="AX19" s="216"/>
      <c r="AY19" s="134">
        <f>SUBTOTAL(9,AY9:AY18)</f>
        <v>6535</v>
      </c>
      <c r="AZ19" s="135">
        <f>SUBTOTAL(9,AZ9:AZ18)</f>
        <v>5643</v>
      </c>
      <c r="BA19" s="135">
        <f>SUBTOTAL(9,BA9:BA18)</f>
        <v>5517</v>
      </c>
      <c r="BB19" s="135">
        <f>SUBTOTAL(9,BB9:BB18)</f>
        <v>7014</v>
      </c>
      <c r="BC19" s="136">
        <f>SUBTOTAL(9,BC9:BC18)</f>
        <v>1208</v>
      </c>
      <c r="BD19" s="217">
        <f>IF(ISNUMBER(BA19/AZ19),BA19/AZ19," - ")</f>
        <v>0.97767145135566191</v>
      </c>
      <c r="BE19" s="214">
        <f>IF(ISNUMBER(BB19/BA19),BB19/BA19, " - ")</f>
        <v>1.2713431212615551</v>
      </c>
      <c r="BF19" s="214">
        <f>IF(ISNUMBER(BC19/BA19),BC19/BA19, " - ")</f>
        <v>0.21895957948160233</v>
      </c>
      <c r="BG19" s="136">
        <f>IF(ISNUMBER((AY19+AZ19)/BA19),(AY19+AZ19)/BA19," - ")</f>
        <v>2.2073590719593983</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ID3S7UXcCrnqH/HPFJfbH43StTwI1ZR7yFXU12SM0W9UplgIExoafavD8OPXE3zynr1V6TznkpOYnOB6wJP5A==" saltValue="DnaWk+XETf9YMM5e6Qjt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pvRepHyOHbZWQAzCElD3L5efAnuzlN1XIpEk0/zfhUEyJPt6u+oaSR0VhvHQQgcaZ3CgEvc0c0ZpHFVrNHUtQ==" saltValue="LdfITeTHqL8+th48Q+7P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FUENGIROLA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109</v>
      </c>
      <c r="O9" s="503"/>
      <c r="P9" s="503"/>
      <c r="Q9" s="501">
        <f>IF(ISNUMBER(Datos!P9),Datos!P9,0)</f>
        <v>451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70</v>
      </c>
      <c r="AI9" s="503" t="str">
        <f>IF(ISNUMBER(Datos!CD9),Datos!CD9,"-")</f>
        <v>-</v>
      </c>
      <c r="AJ9" s="503" t="str">
        <f>IF(ISNUMBER(Datos!EN9),Datos!EN9," - ")</f>
        <v xml:space="preserve"> - </v>
      </c>
      <c r="AK9" s="503"/>
      <c r="AL9" s="504"/>
      <c r="AM9" s="671">
        <f>IF(ISNUMBER(Datos!R9),Datos!R9," - ")</f>
        <v>7270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335</v>
      </c>
      <c r="BD9" s="619">
        <f>IF(ISNUMBER(Datos!N9),Datos!N9," - ")</f>
        <v>761</v>
      </c>
      <c r="BE9" s="619" t="str">
        <f>IF(ISNUMBER(Datos!BW9),Datos!BW9," - ")</f>
        <v xml:space="preserve"> - </v>
      </c>
      <c r="BF9" s="667" t="str">
        <f>IF(ISNUMBER(Datos!BX9),Datos!BX9," - ")</f>
        <v xml:space="preserve"> - </v>
      </c>
      <c r="BG9" s="668">
        <f>IF(ISNUMBER(IF(J_V="SI",Datos!K9/Datos!J9,(Datos!K9+Datos!AA9)/(Datos!J9+Datos!Z9))),IF(J_V="SI",Datos!K9/Datos!J9,(Datos!K9+Datos!AA9)/(Datos!J9+Datos!Z9))," - ")</f>
        <v>0.64040561622464898</v>
      </c>
      <c r="BH9" s="669">
        <f>IF(ISNUMBER(((IF(J_V="SI",Datos!L9/Datos!K9,(Datos!L9+Datos!AB9)/(Datos!K9+Datos!AA9)))*11)/factor_trimestre),((IF(J_V="SI",Datos!L9/Datos!K9,(Datos!L9+Datos!AB9)/(Datos!K9+Datos!AA9)))*11)/factor_trimestre," - ")</f>
        <v>8.4250913520097441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-2.520783051756503E-2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103</v>
      </c>
      <c r="G10" s="497">
        <f>IF(ISNUMBER(Datos!I10),Datos!I10," - ")</f>
        <v>92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26</v>
      </c>
      <c r="AC10" s="501">
        <f>IF(ISNUMBER(Datos!Q10),Datos!Q10," - ")</f>
        <v>9</v>
      </c>
      <c r="AD10" s="503"/>
      <c r="AE10" s="516"/>
      <c r="AF10" s="505">
        <f>IF(ISNUMBER(Datos!L10),Datos!L10,"-")</f>
        <v>98</v>
      </c>
      <c r="AG10" s="503"/>
      <c r="AH10" s="503"/>
      <c r="AI10" s="503"/>
      <c r="AJ10" s="503"/>
      <c r="AK10" s="503"/>
      <c r="AL10" s="504"/>
      <c r="AM10" s="671">
        <f>IF(ISNUMBER(Datos!R10),Datos!R10," - ")</f>
        <v>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16</v>
      </c>
      <c r="BE10" s="619" t="str">
        <f>IF(ISNUMBER(Datos!BW10),Datos!BW10," - ")</f>
        <v xml:space="preserve"> - </v>
      </c>
      <c r="BF10" s="667" t="str">
        <f>IF(ISNUMBER(Datos!BX10),Datos!BX10," - ")</f>
        <v xml:space="preserve"> - </v>
      </c>
      <c r="BG10" s="668">
        <f>IF(ISNUMBER(Datos!K10/Datos!J10),Datos!K10/Datos!J10," - ")</f>
        <v>1.2380952380952381</v>
      </c>
      <c r="BH10" s="669">
        <f>IF(ISNUMBER(((Datos!L10/Datos!K10)*11)/factor_trimestre),((Datos!L10/Datos!K10)*11)/factor_trimestre," - ")</f>
        <v>7.5384615384615383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-4.5977011494252873E-2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103</v>
      </c>
      <c r="G13" s="1044">
        <f t="shared" si="0"/>
        <v>92</v>
      </c>
      <c r="H13" s="1045">
        <f t="shared" si="0"/>
        <v>0</v>
      </c>
      <c r="I13" s="1044">
        <f t="shared" si="0"/>
        <v>0</v>
      </c>
      <c r="J13" s="1013">
        <f t="shared" si="0"/>
        <v>0</v>
      </c>
      <c r="K13" s="1013">
        <f t="shared" si="0"/>
        <v>0</v>
      </c>
      <c r="L13" s="1045">
        <f t="shared" si="0"/>
        <v>0</v>
      </c>
      <c r="M13" s="1045">
        <f t="shared" si="0"/>
        <v>0</v>
      </c>
      <c r="N13" s="1045">
        <f t="shared" si="0"/>
        <v>109</v>
      </c>
      <c r="O13" s="1046">
        <f t="shared" si="0"/>
        <v>0</v>
      </c>
      <c r="P13" s="1046">
        <f t="shared" si="0"/>
        <v>0</v>
      </c>
      <c r="Q13" s="1045">
        <f t="shared" si="0"/>
        <v>456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26</v>
      </c>
      <c r="AC13" s="1045">
        <f t="shared" si="1"/>
        <v>648</v>
      </c>
      <c r="AD13" s="1045">
        <f t="shared" si="1"/>
        <v>0</v>
      </c>
      <c r="AE13" s="1045">
        <f t="shared" si="1"/>
        <v>0</v>
      </c>
      <c r="AF13" s="1045">
        <f t="shared" si="1"/>
        <v>98</v>
      </c>
      <c r="AG13" s="1045">
        <f t="shared" si="1"/>
        <v>0</v>
      </c>
      <c r="AH13" s="1045">
        <f t="shared" si="1"/>
        <v>70</v>
      </c>
      <c r="AI13" s="1045">
        <f t="shared" si="1"/>
        <v>0</v>
      </c>
      <c r="AJ13" s="1045">
        <f t="shared" si="1"/>
        <v>0</v>
      </c>
      <c r="AK13" s="1045">
        <f t="shared" si="1"/>
        <v>0</v>
      </c>
      <c r="AL13" s="1045">
        <f t="shared" si="1"/>
        <v>0</v>
      </c>
      <c r="AM13" s="1045">
        <f t="shared" si="1"/>
        <v>7353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346</v>
      </c>
      <c r="BD13" s="1045">
        <f t="shared" si="1"/>
        <v>777</v>
      </c>
      <c r="BE13" s="1045">
        <f t="shared" si="1"/>
        <v>0</v>
      </c>
      <c r="BF13" s="1045">
        <f t="shared" si="1"/>
        <v>0</v>
      </c>
      <c r="BG13" s="1045">
        <f>IF(ISNUMBER(Datos!K13/Datos!J13),Datos!K13/Datos!J13," - ")</f>
        <v>0.63933764135702742</v>
      </c>
      <c r="BH13" s="1049">
        <f>IF(ISNUMBER(((Datos!L13/Datos!K13)*11)/factor_trimestre),((Datos!L13/Datos!K13)*11)/factor_trimestre," - ")</f>
        <v>8.7744788376500313</v>
      </c>
      <c r="BI13" s="1045">
        <f>IF(ISNUMBER('Resol  Asuntos'!D13/NºAsuntos!G13),'Resol  Asuntos'!D13/NºAsuntos!G13," - ")</f>
        <v>0.20743405275779375</v>
      </c>
      <c r="BJ13" s="1045" t="str">
        <f>IF(ISNUMBER(Datos!CI13/Datos!CJ13),Datos!CI13/Datos!CJ13," - ")</f>
        <v xml:space="preserve"> - </v>
      </c>
      <c r="BK13" s="1045">
        <f>SUBTOTAL(9,BK8:BK12)</f>
        <v>0</v>
      </c>
      <c r="BL13" s="1045">
        <f>IF(ISNUMBER((I13-AB13+L13)/(F13)),(I13-AB13+L13)/(F13)," - ")</f>
        <v>-0.25242718446601942</v>
      </c>
      <c r="BM13" s="1050">
        <f>SUBTOTAL(9,BM9:BM12)</f>
        <v>-7.1184842011817906E-2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1550</v>
      </c>
      <c r="G15" s="650">
        <f>IF(ISNUMBER(IF(D_I="SI",Datos!I15,Datos!I15+Datos!AC15)),IF(D_I="SI",Datos!I15,Datos!I15+Datos!AC15)," - ")</f>
        <v>1508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3552</v>
      </c>
      <c r="AC15" s="230">
        <f>IF(ISNUMBER(Datos!Q15),Datos!Q15," - ")</f>
        <v>87</v>
      </c>
      <c r="AD15" s="343"/>
      <c r="AE15" s="515"/>
      <c r="AF15" s="648">
        <f>IF(ISNUMBER(IF(D_I="SI",Datos!L15,Datos!L15+Datos!AF15)),IF(D_I="SI",Datos!L15,Datos!L15+Datos!AF15)," - ")</f>
        <v>1705</v>
      </c>
      <c r="AG15" s="343"/>
      <c r="AH15" s="343"/>
      <c r="AI15" s="343"/>
      <c r="AJ15" s="503"/>
      <c r="AK15" s="343"/>
      <c r="AL15" s="499"/>
      <c r="AM15" s="344">
        <f>IF(ISNUMBER(Datos!R15),Datos!R15," - ")</f>
        <v>304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298</v>
      </c>
      <c r="BD15" s="233">
        <f>IF(ISNUMBER(Datos!N15),Datos!N15," - ")</f>
        <v>2441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0.95818721338009172</v>
      </c>
      <c r="BH15" s="669">
        <f>IF(ISNUMBER(((IF(D_I="SI",Datos!L15/Datos!K15,(Datos!L15+Datos!AF15)/(Datos!K15+Datos!AE15)))*11)/factor_trimestre),((IF(D_I="SI",Datos!L15/Datos!K15,(Datos!L15+Datos!AF15)/(Datos!K15+Datos!AE15)))*11)/factor_trimestre," - ")</f>
        <v>0.96002252252252263</v>
      </c>
      <c r="BI15" s="247">
        <f>IF(ISNUMBER('Resol  Asuntos'!D15/NºAsuntos!G15),'Resol  Asuntos'!D15/NºAsuntos!G15," - ")</f>
        <v>8.38963963963964E-2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319</v>
      </c>
      <c r="AC17" s="501">
        <f>IF(ISNUMBER(Datos!Q17),Datos!Q17," - ")</f>
        <v>2</v>
      </c>
      <c r="AD17" s="503"/>
      <c r="AE17" s="515"/>
      <c r="AF17" s="505">
        <f>IF(ISNUMBER(Datos!L17),Datos!L17,"-")</f>
        <v>266</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196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1.0357142857142858</v>
      </c>
      <c r="BH17" s="669">
        <f>IF(ISNUMBER(((IF(D_I="SI",Datos!L17/Datos!K17,(Datos!L17+Datos!AF17)/(Datos!K17+Datos!AE17)))*11)/factor_trimestre),((IF(D_I="SI",Datos!L17/Datos!K17,(Datos!L17+Datos!AF17)/(Datos!K17+Datos!AE17)))*11)/factor_trimestre," - ")</f>
        <v>1.6677115987460815</v>
      </c>
      <c r="BI17" s="668">
        <f>IF(ISNUMBER('Resol  Asuntos'!D17/NºAsuntos!G17),'Resol  Asuntos'!D17/NºAsuntos!G17," - ")</f>
        <v>5.6426332288401257E-2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1550</v>
      </c>
      <c r="G18" s="1044">
        <f>SUBTOTAL(9,G15:G17)</f>
        <v>1783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3871</v>
      </c>
      <c r="AC18" s="1045">
        <f t="shared" si="4"/>
        <v>89</v>
      </c>
      <c r="AD18" s="1045">
        <f t="shared" si="4"/>
        <v>0</v>
      </c>
      <c r="AE18" s="1045">
        <f t="shared" si="4"/>
        <v>0</v>
      </c>
      <c r="AF18" s="1045">
        <f t="shared" si="4"/>
        <v>1971</v>
      </c>
      <c r="AG18" s="1045">
        <f t="shared" si="4"/>
        <v>0</v>
      </c>
      <c r="AH18" s="1045">
        <f t="shared" si="4"/>
        <v>0</v>
      </c>
      <c r="AI18" s="1045">
        <f t="shared" si="4"/>
        <v>0</v>
      </c>
      <c r="AJ18" s="1045">
        <f t="shared" si="4"/>
        <v>0</v>
      </c>
      <c r="AK18" s="1045">
        <f t="shared" si="4"/>
        <v>0</v>
      </c>
      <c r="AL18" s="1045">
        <f t="shared" si="4"/>
        <v>0</v>
      </c>
      <c r="AM18" s="1045">
        <f t="shared" si="4"/>
        <v>307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316</v>
      </c>
      <c r="BD18" s="1045">
        <f t="shared" si="4"/>
        <v>2637</v>
      </c>
      <c r="BE18" s="1045">
        <f t="shared" si="4"/>
        <v>0</v>
      </c>
      <c r="BF18" s="1045">
        <f t="shared" si="4"/>
        <v>0</v>
      </c>
      <c r="BG18" s="1045">
        <f>IF(ISNUMBER(Datos!K18/Datos!J18),Datos!K18/Datos!J18," - ")</f>
        <v>0.9641344956413449</v>
      </c>
      <c r="BH18" s="1049">
        <f>IF(ISNUMBER(((Datos!L18/Datos!K18)*11)/factor_trimestre),((Datos!L18/Datos!K18)*11)/factor_trimestre," - ")</f>
        <v>1.0183415138207181</v>
      </c>
      <c r="BI18" s="1045">
        <f>SUBTOTAL(9,BI15:BI17)</f>
        <v>0.14032272868479767</v>
      </c>
      <c r="BJ18" s="1045">
        <f>SUBTOTAL(9,BJ15:BJ17)</f>
        <v>0</v>
      </c>
      <c r="BK18" s="1045">
        <f>SUBTOTAL(9,BK15:BK17)</f>
        <v>0</v>
      </c>
      <c r="BL18" s="1045">
        <f>IF(ISNUMBER((I18-AB18+L18)/(F18)),(I18-AB18+L18)/(F18)," - ")</f>
        <v>-2.4974193548387098</v>
      </c>
      <c r="BM18" s="1051">
        <f>IF(ISNUMBER((Datos!P18-Datos!Q18)/(Datos!R18-Datos!P18+Datos!Q18)),(Datos!P18-Datos!Q18)/(Datos!R18-Datos!P18+Datos!Q18)," - ")</f>
        <v>5.8620689655172413E-2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1653</v>
      </c>
      <c r="G19" s="966">
        <f t="shared" si="6"/>
        <v>1875</v>
      </c>
      <c r="H19" s="968">
        <f t="shared" si="6"/>
        <v>0</v>
      </c>
      <c r="I19" s="966">
        <f t="shared" si="6"/>
        <v>0</v>
      </c>
      <c r="J19" s="968">
        <f t="shared" si="6"/>
        <v>0</v>
      </c>
      <c r="K19" s="968">
        <f t="shared" si="6"/>
        <v>0</v>
      </c>
      <c r="L19" s="1027">
        <f t="shared" si="6"/>
        <v>0</v>
      </c>
      <c r="M19" s="1027">
        <f t="shared" si="6"/>
        <v>0</v>
      </c>
      <c r="N19" s="1027">
        <f t="shared" si="6"/>
        <v>109</v>
      </c>
      <c r="O19" s="1027">
        <f t="shared" si="6"/>
        <v>0</v>
      </c>
      <c r="P19" s="1027">
        <f t="shared" si="6"/>
        <v>0</v>
      </c>
      <c r="Q19" s="968">
        <f t="shared" si="6"/>
        <v>562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3897</v>
      </c>
      <c r="AC19" s="967">
        <f t="shared" si="7"/>
        <v>737</v>
      </c>
      <c r="AD19" s="967">
        <f t="shared" si="7"/>
        <v>0</v>
      </c>
      <c r="AE19" s="967">
        <f t="shared" si="7"/>
        <v>0</v>
      </c>
      <c r="AF19" s="974">
        <f t="shared" si="7"/>
        <v>2069</v>
      </c>
      <c r="AG19" s="974">
        <f t="shared" si="7"/>
        <v>0</v>
      </c>
      <c r="AH19" s="974">
        <f t="shared" si="7"/>
        <v>70</v>
      </c>
      <c r="AI19" s="974">
        <f t="shared" si="7"/>
        <v>0</v>
      </c>
      <c r="AJ19" s="967">
        <f t="shared" si="7"/>
        <v>0</v>
      </c>
      <c r="AK19" s="974">
        <f t="shared" si="7"/>
        <v>0</v>
      </c>
      <c r="AL19" s="974">
        <f t="shared" si="7"/>
        <v>0</v>
      </c>
      <c r="AM19" s="974">
        <f t="shared" si="7"/>
        <v>7660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662</v>
      </c>
      <c r="BD19" s="966">
        <f t="shared" si="7"/>
        <v>3414</v>
      </c>
      <c r="BE19" s="966">
        <f t="shared" si="7"/>
        <v>0</v>
      </c>
      <c r="BF19" s="976">
        <f t="shared" si="7"/>
        <v>0</v>
      </c>
      <c r="BG19" s="1061">
        <f>IF(ISNUMBER(Datos!K19/Datos!J19),Datos!K19/Datos!J19," - ")</f>
        <v>0.84024033276844867</v>
      </c>
      <c r="BH19" s="1061">
        <f>IF(ISNUMBER(((Datos!L19/Datos!K19)*11)/factor_trimestre),((Datos!L19/Datos!K19)*11)/factor_trimestre," - ")</f>
        <v>3.2695269526952697</v>
      </c>
      <c r="BI19" s="959">
        <f>IF(ISNUMBER(Datos!J19/Datos!I19),Datos!J19/Datos!I19," - ")</f>
        <v>0.82962678936605316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-2.3575317604355717</v>
      </c>
      <c r="BM19" s="1035">
        <f>IF(ISNUMBER((Datos!P19-Datos!Q19+R19)/(Datos!R19-Datos!P19+Datos!Q19-R19)),(Datos!P19-Datos!Q19+R19)/(Datos!R19-Datos!P19+Datos!Q19-R19)," - ")</f>
        <v>-2.2335673261008295E-2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835.42583951738845</v>
      </c>
      <c r="G21" s="600">
        <f>IF(ISNUMBER(STDEV(G8:G18)),STDEV(G8:G18),"-")</f>
        <v>826.62052962650284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1972.0022058811192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160.55113411828228</v>
      </c>
      <c r="BD21" s="599"/>
      <c r="BE21" s="599">
        <f>IF(ISNUMBER(STDEV(BE8:BE18)),STDEV(BE8:BE18),"-")</f>
        <v>0</v>
      </c>
      <c r="BF21" s="604">
        <f>IF(ISNUMBER(STDEV(BF8:BF18)),STDEV(BF8:BF18),"-")</f>
        <v>0</v>
      </c>
      <c r="BG21" s="914">
        <f>IF(ISNUMBER(STDEV(BG8:BG18)),STDEV(BG8:BG18),"-")</f>
        <v>0.23435031994296554</v>
      </c>
      <c r="BH21" s="918">
        <f>IF(ISNUMBER(STDEV(BH8:BH18)),STDEV(BH8:BH18),"-")</f>
        <v>3.8798379275517054</v>
      </c>
      <c r="BI21" s="253">
        <f>IF(ISNUMBER(STDEV(BI8:BI18)),STDEV(BI8:BI18),"-")</f>
        <v>6.6799422855153529E-2</v>
      </c>
      <c r="BJ21" s="234" t="str">
        <f>IF(ISNUMBER(BL21/BM21),BL21/BM21," - ")</f>
        <v xml:space="preserve"> - </v>
      </c>
      <c r="BK21" s="626"/>
      <c r="BL21" s="607">
        <f>IF(ISNUMBER(STDEV(BL8:BL18)),STDEV(BL8:BL18),"-")</f>
        <v>1.5874491873812344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tDTbt75sSlM/rhxGbyqyVjw8nbY6kz7FXosFzDPUaN5O8iC5nPpivy2hj1sRrtY9JXijkYTUT6ZqeMn1HtzJQ==" saltValue="9AuTJgJO/UNHWXASSBvN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FUENGIROLA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451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639</v>
      </c>
      <c r="AA9" s="505" t="str">
        <f>IF(ISNUMBER(IF(J_V="SI",Datos!L9,Datos!L9+Datos!AB9)-IF(Monitorios="SI",Datos!CD9,0)),
                          IF(J_V="SI",Datos!L9,Datos!L9+Datos!AB9)-IF(Monitorios="SI",Datos!CD9,0),
                          " - ")</f>
        <v xml:space="preserve"> - </v>
      </c>
      <c r="AB9" s="503"/>
      <c r="AC9" s="503"/>
      <c r="AD9" s="516"/>
      <c r="AE9" s="516">
        <f>IF(ISNUMBER(Datos!R9),Datos!R9," - ")</f>
        <v>7270</v>
      </c>
      <c r="AF9" s="619" t="str">
        <f>IF(ISNUMBER(Datos!BV9),Datos!BV9," - ")</f>
        <v xml:space="preserve"> - </v>
      </c>
      <c r="AG9" s="506" t="str">
        <f>IF(ISNUMBER(Datos!DV9),Datos!DV9," - ")</f>
        <v xml:space="preserve"> - </v>
      </c>
      <c r="AH9" s="507"/>
      <c r="AI9" s="508"/>
      <c r="AJ9" s="506">
        <f>IF(ISNUMBER(Datos!M9),Datos!M9," - ")</f>
        <v>335</v>
      </c>
      <c r="AK9" s="619">
        <f>IF(ISNUMBER(Datos!N9),Datos!N9," - ")</f>
        <v>761</v>
      </c>
      <c r="AL9" s="619" t="str">
        <f>IF(ISNUMBER(Datos!BW9),Datos!BW9," - ")</f>
        <v xml:space="preserve"> - </v>
      </c>
      <c r="AM9" s="667" t="str">
        <f>IF(ISNUMBER(Datos!BX9),Datos!BX9," - ")</f>
        <v xml:space="preserve"> - </v>
      </c>
      <c r="AN9" s="668"/>
      <c r="AO9" s="669">
        <f>IF(ISNUMBER(((NºAsuntos!I9/NºAsuntos!G9)*11)/factor_trimestre),((NºAsuntos!I9/NºAsuntos!G9)*11)/factor_trimestre," - ")</f>
        <v>8.4250913520097441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-2.520783051756503E-2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103</v>
      </c>
      <c r="G10" s="506">
        <f>IF(ISNUMBER(Datos!I10),Datos!I10," - ")</f>
        <v>92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26</v>
      </c>
      <c r="Z10" s="703">
        <f>IF(ISNUMBER(Datos!Q10),Datos!Q10," - ")</f>
        <v>9</v>
      </c>
      <c r="AA10" s="505">
        <f>IF(ISNUMBER(Datos!L10),Datos!L10,"-")</f>
        <v>98</v>
      </c>
      <c r="AB10" s="503"/>
      <c r="AC10" s="503"/>
      <c r="AD10" s="516"/>
      <c r="AE10" s="516">
        <f>IF(ISNUMBER(Datos!R10),Datos!R10," - ")</f>
        <v>83</v>
      </c>
      <c r="AF10" s="619" t="str">
        <f>IF(ISNUMBER(Datos!BV10),Datos!BV10," - ")</f>
        <v xml:space="preserve"> - </v>
      </c>
      <c r="AG10" s="506" t="str">
        <f>IF(ISNUMBER(Datos!DV10),Datos!DV10," - ")</f>
        <v xml:space="preserve"> - </v>
      </c>
      <c r="AH10" s="507"/>
      <c r="AI10" s="508"/>
      <c r="AJ10" s="506">
        <f>IF(ISNUMBER(Datos!M10),Datos!M10," - ")</f>
        <v>11</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7.5384615384615383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-4.5977011494252873E-2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103</v>
      </c>
      <c r="G13" s="1044">
        <f>SUBTOTAL(9,G8:G12)</f>
        <v>92</v>
      </c>
      <c r="H13" s="1054"/>
      <c r="I13" s="1044">
        <f t="shared" ref="I13:N13" si="0">SUBTOTAL(9,I8:I12)</f>
        <v>0</v>
      </c>
      <c r="J13" s="1013">
        <f t="shared" si="0"/>
        <v>0</v>
      </c>
      <c r="K13" s="1054">
        <f t="shared" si="0"/>
        <v>0</v>
      </c>
      <c r="L13" s="1054">
        <f t="shared" si="0"/>
        <v>0</v>
      </c>
      <c r="M13" s="1054">
        <f t="shared" si="0"/>
        <v>0</v>
      </c>
      <c r="N13" s="1054">
        <f t="shared" si="0"/>
        <v>456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26</v>
      </c>
      <c r="Z13" s="1053">
        <f t="shared" si="2"/>
        <v>648</v>
      </c>
      <c r="AA13" s="1046">
        <f t="shared" si="2"/>
        <v>98</v>
      </c>
      <c r="AB13" s="1046">
        <f t="shared" si="2"/>
        <v>0</v>
      </c>
      <c r="AC13" s="1046">
        <f t="shared" si="2"/>
        <v>0</v>
      </c>
      <c r="AD13" s="1046">
        <f t="shared" si="2"/>
        <v>0</v>
      </c>
      <c r="AE13" s="1046">
        <f t="shared" si="2"/>
        <v>7353</v>
      </c>
      <c r="AF13" s="1054">
        <f t="shared" si="2"/>
        <v>0</v>
      </c>
      <c r="AG13" s="1054">
        <f t="shared" si="2"/>
        <v>0</v>
      </c>
      <c r="AH13" s="1054">
        <f t="shared" si="2"/>
        <v>0</v>
      </c>
      <c r="AI13" s="1054">
        <f t="shared" si="2"/>
        <v>0</v>
      </c>
      <c r="AJ13" s="1054">
        <f t="shared" si="2"/>
        <v>346</v>
      </c>
      <c r="AK13" s="1054">
        <f t="shared" si="2"/>
        <v>777</v>
      </c>
      <c r="AL13" s="1054">
        <f t="shared" si="2"/>
        <v>0</v>
      </c>
      <c r="AM13" s="1054">
        <f t="shared" si="2"/>
        <v>0</v>
      </c>
      <c r="AN13" s="1054">
        <f t="shared" si="2"/>
        <v>0</v>
      </c>
      <c r="AO13" s="1050">
        <f>IF(ISNUMBER(((NºAsuntos!I13/NºAsuntos!G13)*11)/factor_trimestre),((NºAsuntos!I13/NºAsuntos!G13)*11)/factor_trimestre," - ")</f>
        <v>8.4112709832134289</v>
      </c>
      <c r="AP13" s="1056" t="str">
        <f>IF(ISNUMBER(Datos!CI13/Datos!CJ13),Datos!CI13/Datos!CJ13," - ")</f>
        <v xml:space="preserve"> - </v>
      </c>
      <c r="AQ13" s="1074">
        <f t="shared" ref="AQ13:AV13" si="3">SUBTOTAL(9,AQ9:AQ12)</f>
        <v>0</v>
      </c>
      <c r="AR13" s="1074">
        <f t="shared" si="3"/>
        <v>-7.1184842011817906E-2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1550</v>
      </c>
      <c r="G15" s="506">
        <f>IF(ISNUMBER(IF(D_I="SI",Datos!I15,Datos!I15+Datos!AC15)),IF(D_I="SI",Datos!I15,Datos!I15+Datos!AC15)," - ")</f>
        <v>1508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3552</v>
      </c>
      <c r="Z15" s="703">
        <f>IF(ISNUMBER(Datos!Q15),Datos!Q15," - ")</f>
        <v>87</v>
      </c>
      <c r="AA15" s="505">
        <f>IF(ISNUMBER(IF(D_I="SI",Datos!L15,Datos!L15+Datos!AF15)),IF(D_I="SI",Datos!L15,Datos!L15+Datos!AF15)," - ")</f>
        <v>1705</v>
      </c>
      <c r="AB15" s="503"/>
      <c r="AC15" s="503"/>
      <c r="AD15" s="516"/>
      <c r="AE15" s="516">
        <f>IF(ISNUMBER(Datos!R15),Datos!R15," - ")</f>
        <v>304</v>
      </c>
      <c r="AF15" s="619" t="str">
        <f>IF(ISNUMBER(Datos!BV15),Datos!BV15," - ")</f>
        <v xml:space="preserve"> - </v>
      </c>
      <c r="AG15" s="506"/>
      <c r="AH15" s="507"/>
      <c r="AI15" s="508"/>
      <c r="AJ15" s="506">
        <f>IF(ISNUMBER(Datos!M15),Datos!M15," - ")</f>
        <v>298</v>
      </c>
      <c r="AK15" s="619">
        <f>IF(ISNUMBER(Datos!N15),Datos!N15," - ")</f>
        <v>2441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0.96002252252252263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319</v>
      </c>
      <c r="Z17" s="703">
        <f>IF(ISNUMBER(Datos!Q17),Datos!Q17," - ")</f>
        <v>2</v>
      </c>
      <c r="AA17" s="505">
        <f>IF(ISNUMBER(Datos!L17),Datos!L17,"-")</f>
        <v>266</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18</v>
      </c>
      <c r="AK17" s="619">
        <f>IF(ISNUMBER(Datos!N17),Datos!N17," - ")</f>
        <v>196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1.6677115987460815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1550</v>
      </c>
      <c r="G18" s="1044">
        <f>SUBTOTAL(9,G15:G17)</f>
        <v>1783</v>
      </c>
      <c r="H18" s="1078">
        <f>SUBTOTAL(9,H15:H17)</f>
        <v>0</v>
      </c>
      <c r="I18" s="1057">
        <f>SUBTOTAL(9,I15:I17)</f>
        <v>0</v>
      </c>
      <c r="J18" s="1013">
        <f>SUBTOTAL(9,J14:J17)</f>
        <v>0</v>
      </c>
      <c r="K18" s="1078">
        <f t="shared" ref="K18:S18" si="4">SUBTOTAL(9,K15:K17)</f>
        <v>0</v>
      </c>
      <c r="L18" s="1078">
        <f t="shared" si="4"/>
        <v>0</v>
      </c>
      <c r="M18" s="1078">
        <f t="shared" si="4"/>
        <v>0</v>
      </c>
      <c r="N18" s="1078">
        <f t="shared" si="4"/>
        <v>106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3871</v>
      </c>
      <c r="Z18" s="1078">
        <f t="shared" si="5"/>
        <v>89</v>
      </c>
      <c r="AA18" s="1078">
        <f t="shared" si="5"/>
        <v>1971</v>
      </c>
      <c r="AB18" s="1078">
        <f t="shared" si="5"/>
        <v>0</v>
      </c>
      <c r="AC18" s="1078">
        <f t="shared" si="5"/>
        <v>0</v>
      </c>
      <c r="AD18" s="1078">
        <f t="shared" si="5"/>
        <v>0</v>
      </c>
      <c r="AE18" s="1078">
        <f t="shared" si="5"/>
        <v>307</v>
      </c>
      <c r="AF18" s="1078">
        <f t="shared" si="5"/>
        <v>0</v>
      </c>
      <c r="AG18" s="1078">
        <f t="shared" si="5"/>
        <v>0</v>
      </c>
      <c r="AH18" s="1078">
        <f t="shared" si="5"/>
        <v>0</v>
      </c>
      <c r="AI18" s="1078">
        <f t="shared" si="5"/>
        <v>0</v>
      </c>
      <c r="AJ18" s="1078">
        <f t="shared" si="5"/>
        <v>316</v>
      </c>
      <c r="AK18" s="1078">
        <f t="shared" si="5"/>
        <v>2637</v>
      </c>
      <c r="AL18" s="1078">
        <f t="shared" si="5"/>
        <v>0</v>
      </c>
      <c r="AM18" s="1078">
        <f t="shared" si="5"/>
        <v>0</v>
      </c>
      <c r="AN18" s="1078">
        <f t="shared" si="5"/>
        <v>0</v>
      </c>
      <c r="AO18" s="1080">
        <f>IF(ISNUMBER(((NºAsuntos!I18/NºAsuntos!G18)*11)/factor_trimestre),((NºAsuntos!I18/NºAsuntos!G18)*11)/factor_trimestre," - ")</f>
        <v>1.0183415138207181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1653</v>
      </c>
      <c r="G19" s="966">
        <f t="shared" si="7"/>
        <v>1875</v>
      </c>
      <c r="H19" s="967">
        <f t="shared" si="7"/>
        <v>0</v>
      </c>
      <c r="I19" s="966">
        <f t="shared" si="7"/>
        <v>0</v>
      </c>
      <c r="J19" s="968">
        <f t="shared" si="7"/>
        <v>0</v>
      </c>
      <c r="K19" s="966">
        <f t="shared" si="7"/>
        <v>0</v>
      </c>
      <c r="L19" s="969">
        <f t="shared" si="7"/>
        <v>0</v>
      </c>
      <c r="M19" s="966">
        <f t="shared" si="7"/>
        <v>0</v>
      </c>
      <c r="N19" s="967">
        <f t="shared" si="7"/>
        <v>562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3897</v>
      </c>
      <c r="Z19" s="973">
        <f t="shared" si="8"/>
        <v>737</v>
      </c>
      <c r="AA19" s="974">
        <f t="shared" si="8"/>
        <v>2069</v>
      </c>
      <c r="AB19" s="974">
        <f t="shared" si="8"/>
        <v>0</v>
      </c>
      <c r="AC19" s="974">
        <f t="shared" si="8"/>
        <v>0</v>
      </c>
      <c r="AD19" s="975">
        <f t="shared" si="8"/>
        <v>0</v>
      </c>
      <c r="AE19" s="975">
        <f t="shared" si="8"/>
        <v>7660</v>
      </c>
      <c r="AF19" s="976">
        <f t="shared" si="8"/>
        <v>0</v>
      </c>
      <c r="AG19" s="977">
        <f t="shared" si="8"/>
        <v>0</v>
      </c>
      <c r="AH19" s="978">
        <f t="shared" si="8"/>
        <v>0</v>
      </c>
      <c r="AI19" s="976">
        <f t="shared" si="8"/>
        <v>0</v>
      </c>
      <c r="AJ19" s="966">
        <f t="shared" si="8"/>
        <v>662</v>
      </c>
      <c r="AK19" s="966">
        <f t="shared" si="8"/>
        <v>3414</v>
      </c>
      <c r="AL19" s="966">
        <f t="shared" si="8"/>
        <v>0</v>
      </c>
      <c r="AM19" s="979">
        <f t="shared" si="8"/>
        <v>0</v>
      </c>
      <c r="AN19" s="969">
        <f>IF(ISNUMBER(Datos!K19/Datos!J19),Datos!K19/Datos!J19," - ")</f>
        <v>0.84024033276844867</v>
      </c>
      <c r="AO19" s="969">
        <f>IF(ISNUMBER(FIND("06",Criterios!A8,1)),(IF(ISNUMBER(((Datos!R19/Datos!Q19)*11)/factor_trimestre),((Datos!R19/Datos!Q19)*11)/factor_trimestre," - ")),(IF(ISNUMBER(((Datos!L19/Datos!K19)*11)/factor_trimestre),((Datos!L19/Datos!K19)*11)/factor_trimestre," - ")))</f>
        <v>3.2695269526952697</v>
      </c>
      <c r="AP19" s="980" t="str">
        <f>IF(ISNUMBER(Datos!CI19/Datos!CJ19),Datos!CI19/Datos!CJ19," - ")</f>
        <v xml:space="preserve"> - </v>
      </c>
      <c r="AQ19" s="980">
        <f>IF(OR(ISNUMBER(FIND("01",Criterios!A8,1)),ISNUMBER(FIND("02",Criterios!A8,1)),ISNUMBER(FIND("03",Criterios!A8,1)),ISNUMBER(FIND("04",Criterios!A8,1))),(J19-Y19+K19)/(F19-K19),(I19-Y19+K19)/(F19-K19))</f>
        <v>-2.3575317604355717</v>
      </c>
      <c r="AR19" s="980">
        <f>IF(ISNUMBER((Datos!P19-Datos!Q19+O19)/(Datos!R19-Datos!P19+Datos!Q19-O19)),(Datos!P19-Datos!Q19+O19)/(Datos!R19-Datos!P19+Datos!Q19-O19)," - ")</f>
        <v>-2.2335673261008295E-2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835.42583951738845</v>
      </c>
      <c r="G21" s="600">
        <f>IF(ISNUMBER(STDEV(G8:G18)),STDEV(G8:G18),"-")</f>
        <v>826.62052962650284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160.55113411828228</v>
      </c>
      <c r="AK21" s="256"/>
      <c r="AL21" s="256">
        <f>IF(ISNUMBER(STDEV(AL8:AL18)),STDEV(AL8:AL18),"-")</f>
        <v>0</v>
      </c>
      <c r="AM21" s="258">
        <f>IF(ISNUMBER(STDEV(AM8:AM18)),STDEV(AM8:AM18),"-")</f>
        <v>0</v>
      </c>
      <c r="AN21" s="586">
        <f>IF(ISNUMBER(STDEV(AN8:AN18)),STDEV(AN8:AN18),"-")</f>
        <v>0</v>
      </c>
      <c r="AO21" s="587">
        <f>IF(ISNUMBER(STDEV(AO8:AO18)),STDEV(AO8:AO18),"-")</f>
        <v>3.80626245342942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ERdp33QaemKCNmlTR8SDR7GKEpf171lTy2EOMm8juyqvhJKT5Pp1QpjKawv5NTKPmHmfnRo8gGqiaNtf9xZ5Q==" saltValue="fARBnPPAfVON6oTA4yKd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hlY9/TJ0tJrVoGIeXTVnc/fYhDTFmM1pMgGKhA1dmVI4N9NBU5Mt0tRK9ELrvSG0xr7CFNUzFxye+MVCGs71g==" saltValue="h8ehPSi4/KMro//aKYXa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WcICPhrfjCf4cdp7atcQ33zD/Ipoj6oCvyZOnc8EKHRu90f2GI5GRIBsHNtxH0xItE5cGG3J426Jev9xPcyBQ==" saltValue="4QZzw8DgqhwP+Qa3oXt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FUENGIROLA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0.20743405275779375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0.14667802535404403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UwIHitkK09y7dnSW268pwlQAOEXC3fYm6Dp8LJ8EoSOrBi/X5y5gZ17WRYlpT2sQg5TiMYHIQ3q8P0wGZK2rg==" saltValue="qTOYYlrOX7aEZ4zyLE6h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eVOpQ2ivBZZ9nnlEQoxb/OnA6r5z5inDy26/+rsR8R7d9GVpPvMpTyt1d/AWR4ho1PxwHyikPF5DnxyqKesjw==" saltValue="GZCIpPqEbpSKAya6xN/6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FUENGIROLA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5995</v>
      </c>
      <c r="D9" s="415">
        <f>IF(ISNUMBER(C9/Datos!BH9),C9/Datos!BH9," - ")</f>
        <v>1199</v>
      </c>
      <c r="E9" s="414">
        <f>IF(ISNUMBER(IF(J_V="SI",Datos!J9,Datos!J9+Datos!Z9)),IF(J_V="SI",Datos!J9,Datos!J9+Datos!Z9)," - ")</f>
        <v>2564</v>
      </c>
      <c r="F9" s="415">
        <f>IF(ISNUMBER(E9/B9),E9/B9," - ")</f>
        <v>512.79999999999995</v>
      </c>
      <c r="G9" s="414">
        <f>IF(ISNUMBER(IF(J_V="SI",Datos!K9,Datos!K9+Datos!AA9)),IF(J_V="SI",Datos!K9,Datos!K9+Datos!AA9)," - ")</f>
        <v>1642</v>
      </c>
      <c r="H9" s="415">
        <f>IF(ISNUMBER(G9/B9),G9/B9," - ")</f>
        <v>328.4</v>
      </c>
      <c r="I9" s="414">
        <f>IF(ISNUMBER(IF(J_V="SI",Datos!L9,Datos!L9+Datos!AB9)),IF(J_V="SI",Datos!L9,Datos!L9+Datos!AB9)," - ")</f>
        <v>6917</v>
      </c>
      <c r="J9" s="415">
        <f>IF(ISNUMBER(I9/B9),I9/B9," - ")</f>
        <v>1383.4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92</v>
      </c>
      <c r="D10" s="415">
        <f>IF(ISNUMBER(C10/Datos!BH10),C10/Datos!BH10," - ")</f>
        <v>92</v>
      </c>
      <c r="E10" s="414">
        <f>IF(ISNUMBER(Datos!J10),Datos!J10," - ")</f>
        <v>21</v>
      </c>
      <c r="F10" s="415">
        <f>IF(ISNUMBER(E10/B10),E10/B10," - ")</f>
        <v>21</v>
      </c>
      <c r="G10" s="414">
        <f>IF(ISNUMBER(Datos!K10),Datos!K10," - ")</f>
        <v>26</v>
      </c>
      <c r="H10" s="415">
        <f>IF(ISNUMBER(G10/B10),G10/B10," - ")</f>
        <v>26</v>
      </c>
      <c r="I10" s="414">
        <f>IF(ISNUMBER(Datos!L10),Datos!L10," - ")</f>
        <v>98</v>
      </c>
      <c r="J10" s="415">
        <f>IF(ISNUMBER(I10/B10),I10/B10," - ")</f>
        <v>98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6087</v>
      </c>
      <c r="D13" s="996" t="str">
        <f>IF(ISNUMBER(C13/Datos!BI13),C13/Datos!BI13," - ")</f>
        <v xml:space="preserve"> - </v>
      </c>
      <c r="E13" s="995">
        <f>SUBTOTAL(9,E8:E12)</f>
        <v>2585</v>
      </c>
      <c r="F13" s="996">
        <f>IF(ISNUMBER(E13/B13),E13/B13," - ")</f>
        <v>430.83333333333331</v>
      </c>
      <c r="G13" s="995">
        <f>SUBTOTAL(9,G8:G12)</f>
        <v>1668</v>
      </c>
      <c r="H13" s="996">
        <f>IF(ISNUMBER(G13/B13),G13/B13," - ")</f>
        <v>278</v>
      </c>
      <c r="I13" s="995">
        <f>SUBTOTAL(9,I8:I12)</f>
        <v>7015</v>
      </c>
      <c r="J13" s="996">
        <f>IF(ISNUMBER(I13/B13),I13/B13," - ")</f>
        <v>1169.1666666666667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1508</v>
      </c>
      <c r="D15" s="415">
        <f>IF(ISNUMBER(C15/Datos!BH15),C15/Datos!BH15," - ")</f>
        <v>377</v>
      </c>
      <c r="E15" s="414">
        <f>IF(ISNUMBER(IF(D_I="SI",Datos!J15,Datos!J15+Datos!AD15)),IF(D_I="SI",Datos!J15,Datos!J15+Datos!AD15)," - ")</f>
        <v>3707</v>
      </c>
      <c r="F15" s="415">
        <f>IF(ISNUMBER(E15/B15),E15/B15," - ")</f>
        <v>926.75</v>
      </c>
      <c r="G15" s="414">
        <f>IF(ISNUMBER(IF(D_I="SI",Datos!K15,Datos!K15+Datos!AE15)),IF(D_I="SI",Datos!K15,Datos!K15+Datos!AE15)," - ")</f>
        <v>3552</v>
      </c>
      <c r="H15" s="415">
        <f>IF(ISNUMBER(G15/B15),G15/B15," - ")</f>
        <v>888</v>
      </c>
      <c r="I15" s="414">
        <f>IF(ISNUMBER(IF(D_I="SI",Datos!L15,Datos!L15+Datos!AF15)),IF(D_I="SI",Datos!L15,Datos!L15+Datos!AF15)," - ")</f>
        <v>1705</v>
      </c>
      <c r="J15" s="415">
        <f>IF(ISNUMBER(I15/B15),I15/B15," - ")</f>
        <v>426.25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275</v>
      </c>
      <c r="D17" s="415">
        <f>IF(ISNUMBER(C17/Datos!BH17),C17/Datos!BH17," - ")</f>
        <v>275</v>
      </c>
      <c r="E17" s="414">
        <f>IF(ISNUMBER(IF(D_I="SI",Datos!J17,Datos!J17+Datos!AD17)),IF(D_I="SI",Datos!J17,Datos!J17+Datos!AD17)," - ")</f>
        <v>308</v>
      </c>
      <c r="F17" s="415">
        <f>IF(ISNUMBER(E17/B17),E17/B17," - ")</f>
        <v>308</v>
      </c>
      <c r="G17" s="414">
        <f>IF(ISNUMBER(IF(D_I="SI",Datos!K17,Datos!K17+Datos!AE17)),IF(D_I="SI",Datos!K17,Datos!K17+Datos!AE17)," - ")</f>
        <v>319</v>
      </c>
      <c r="H17" s="415">
        <f>IF(ISNUMBER(G17/B17),G17/B17," - ")</f>
        <v>319</v>
      </c>
      <c r="I17" s="414">
        <f>IF(ISNUMBER(IF(D_I="SI",Datos!L17,Datos!L17+Datos!AF17)),IF(D_I="SI",Datos!L17,Datos!L17+Datos!AF17)," - ")</f>
        <v>266</v>
      </c>
      <c r="J17" s="415">
        <f>IF(ISNUMBER(I17/B17),I17/B17," - ")</f>
        <v>266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1783</v>
      </c>
      <c r="D18" s="996" t="str">
        <f>IF(ISNUMBER(C18/Datos!BI18),C18/Datos!BI18," - ")</f>
        <v xml:space="preserve"> - </v>
      </c>
      <c r="E18" s="995">
        <f>SUBTOTAL(9,E14:E17)</f>
        <v>4015</v>
      </c>
      <c r="F18" s="996">
        <f>IF(ISNUMBER(E18/B18),E18/B18," - ")</f>
        <v>803</v>
      </c>
      <c r="G18" s="995">
        <f>SUBTOTAL(9,G14:G17)</f>
        <v>3871</v>
      </c>
      <c r="H18" s="996">
        <f>IF(ISNUMBER(G18/B18),G18/B18," - ")</f>
        <v>774.2</v>
      </c>
      <c r="I18" s="995">
        <f>SUBTOTAL(9,I14:I17)</f>
        <v>1971</v>
      </c>
      <c r="J18" s="996">
        <f>IF(ISNUMBER(I18/B18),I18/B18," - ")</f>
        <v>394.2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7870</v>
      </c>
      <c r="D19" s="941" t="str">
        <f>IF(ISNUMBER(C19/Datos!BI19),C19/Datos!BI19," - ")</f>
        <v xml:space="preserve"> - </v>
      </c>
      <c r="E19" s="940">
        <f>SUBTOTAL(9,E9:E18)</f>
        <v>6600</v>
      </c>
      <c r="F19" s="941">
        <f>IF(ISNUMBER(E19/B19),E19/B19," - ")</f>
        <v>660</v>
      </c>
      <c r="G19" s="940">
        <f>SUBTOTAL(9,G9:G18)</f>
        <v>5539</v>
      </c>
      <c r="H19" s="941">
        <f>IF(ISNUMBER(G19/B19),G19/B19," - ")</f>
        <v>553.9</v>
      </c>
      <c r="I19" s="940">
        <f>SUBTOTAL(9,I9:I18)</f>
        <v>8986</v>
      </c>
      <c r="J19" s="941">
        <f>IF(ISNUMBER(I19/B19),I19/B19," - ")</f>
        <v>898.6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gCYJDV4Sl/9XkO99wu04kQPRoju3ZLK4XLLyWypPylH0/Zjl2Re2oK08shnqSOQBV0Hnr792/3NDollJx0utA==" saltValue="gaSWp4ASPdLZzBuDgMT0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FUENGIROLA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103</v>
      </c>
      <c r="G10" s="802">
        <f>IF(ISNUMBER(Datos!I10),Datos!I10," - ")</f>
        <v>92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26</v>
      </c>
      <c r="AC10" s="801" t="str">
        <f>IF(ISNUMBER(IF(D_I="SI",DatosP!K17,DatosP!K17+DatosP!AE17)),IF(D_I="SI",DatosP!K17,DatosP!K17+DatosP!AE17)," - ")</f>
        <v xml:space="preserve"> - </v>
      </c>
      <c r="AD10" s="803"/>
      <c r="AE10" s="803"/>
      <c r="AF10" s="806">
        <f>IF(ISNUMBER(Datos!L10),Datos!L10,"-")</f>
        <v>98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7.5384615384615383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103</v>
      </c>
      <c r="G13" s="1084">
        <f t="shared" si="0"/>
        <v>92</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26</v>
      </c>
      <c r="AC13" s="1085">
        <f t="shared" si="1"/>
        <v>0</v>
      </c>
      <c r="AD13" s="1085">
        <f t="shared" si="1"/>
        <v>0</v>
      </c>
      <c r="AE13" s="1085">
        <f t="shared" si="1"/>
        <v>0</v>
      </c>
      <c r="AF13" s="1085">
        <f t="shared" si="1"/>
        <v>98</v>
      </c>
      <c r="AG13" s="1085">
        <f t="shared" si="1"/>
        <v>0</v>
      </c>
      <c r="AH13" s="1085">
        <f t="shared" si="1"/>
        <v>0</v>
      </c>
      <c r="AI13" s="1085">
        <f t="shared" si="1"/>
        <v>0</v>
      </c>
      <c r="AJ13" s="1085">
        <f t="shared" si="1"/>
        <v>0</v>
      </c>
      <c r="AK13" s="1085">
        <f t="shared" si="1"/>
        <v>0</v>
      </c>
      <c r="AL13" s="1085">
        <f t="shared" si="1"/>
        <v>11</v>
      </c>
      <c r="AM13" s="1085">
        <f t="shared" si="1"/>
        <v>16</v>
      </c>
      <c r="AN13" s="1085">
        <f t="shared" si="1"/>
        <v>0</v>
      </c>
      <c r="AO13" s="1085">
        <f t="shared" si="1"/>
        <v>0</v>
      </c>
      <c r="AP13" s="1090">
        <f>IF(ISNUMBER(((Datos!L13/Datos!K13)*11)/factor_trimestre),((Datos!L13/Datos!K13)*11)/factor_trimestre," - ")</f>
        <v>8.7744788376500313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-0.25242718446601942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1.0183415138207181</v>
      </c>
      <c r="AQ18" s="1090">
        <f>IF(ISNUMBER(((Datos!M18/Datos!L18)*11)/factor_trimestre),((Datos!M18/Datos!L18)*11)/factor_trimestre," - ")</f>
        <v>0.32064941653982748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5.8620689655172413E-2</v>
      </c>
      <c r="AW18" s="1092">
        <f>IF(ISNUMBER((Datos!Q18-Datos!R18)/(Datos!S18-Datos!Q18+Datos!R18)),(Datos!Q18-Datos!R18)/(Datos!S18-Datos!Q18+Datos!R18)," - ")</f>
        <v>-0.12846199175014733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103</v>
      </c>
      <c r="G19" s="1097">
        <f t="shared" si="4"/>
        <v>92</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26</v>
      </c>
      <c r="AC19" s="1103">
        <f t="shared" si="5"/>
        <v>0</v>
      </c>
      <c r="AD19" s="1103">
        <f t="shared" si="5"/>
        <v>0</v>
      </c>
      <c r="AE19" s="1103">
        <f t="shared" si="5"/>
        <v>0</v>
      </c>
      <c r="AF19" s="1104">
        <f t="shared" si="5"/>
        <v>98</v>
      </c>
      <c r="AG19" s="1104">
        <f t="shared" si="5"/>
        <v>0</v>
      </c>
      <c r="AH19" s="1104">
        <f t="shared" si="5"/>
        <v>0</v>
      </c>
      <c r="AI19" s="1104">
        <f t="shared" si="5"/>
        <v>0</v>
      </c>
      <c r="AJ19" s="1105">
        <f t="shared" si="5"/>
        <v>0</v>
      </c>
      <c r="AK19" s="1105">
        <f t="shared" si="5"/>
        <v>0</v>
      </c>
      <c r="AL19" s="1097">
        <f t="shared" si="5"/>
        <v>11</v>
      </c>
      <c r="AM19" s="1097">
        <f t="shared" si="5"/>
        <v>16</v>
      </c>
      <c r="AN19" s="1097">
        <f t="shared" si="5"/>
        <v>0</v>
      </c>
      <c r="AO19" s="1097">
        <f t="shared" si="5"/>
        <v>0</v>
      </c>
      <c r="AP19" s="1097">
        <f>IF(ISNUMBER(((Datos!L19/Datos!K19)*11)/factor_trimestre),((Datos!L19/Datos!K19)*11)/factor_trimestre," - ")</f>
        <v>3.2695269526952697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-0.25242718446601942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-2.2335673261008295E-2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59.46707772653145</v>
      </c>
      <c r="G21" s="870">
        <f>IF(ISNUMBER(STDEV(G8:G18)),STDEV(G8:G18),"-")</f>
        <v>53.116224765445565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15.01110699893027</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4.1672806898046764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FUd0ufm7xpQNkzxGgkbhPIe9p6GZ9g0nNDLCt3t3udfYxye9cYdZHQyT6hG/Pg6xFclAgWXY0Btf5J3pJ48KQ==" saltValue="0DE3Z3K3wLVHOb0GPaYL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FUENGIROLA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jMAe8dNVEetoWCYmF34upPIZi8el8N3O2+kW02am3EWy2SXPzdA7YScvOrnR+XFhRVhF/P9NGjeDRM4REv3hw==" saltValue="sfcRAjb6LQ6HRZZwcESW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FUENGIROLA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335</v>
      </c>
      <c r="E9" s="415">
        <f t="shared" ref="E9:E13" si="0">IF(ISNUMBER(D9/B9),D9/B9," - ")</f>
        <v>67</v>
      </c>
      <c r="F9" s="414">
        <f>IF(ISNUMBER(Datos!N9),Datos!N9," - ")</f>
        <v>761</v>
      </c>
      <c r="G9" s="415">
        <f t="shared" ref="G9:G13" si="1">IF(ISNUMBER(F9/B9),F9/B9," - ")</f>
        <v>152.19999999999999</v>
      </c>
      <c r="H9" s="414">
        <f>IF(ISNUMBER(Datos!O9),Datos!O9," - ")</f>
        <v>756</v>
      </c>
      <c r="I9" s="415">
        <f>IF(ISNUMBER(H9/B9),H9/B9," - ")</f>
        <v>151.19999999999999</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16</v>
      </c>
      <c r="G10" s="415">
        <f>IF(ISNUMBER(F10/B10),F10/B10," - ")</f>
        <v>16</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346</v>
      </c>
      <c r="E13" s="996">
        <f t="shared" si="0"/>
        <v>57.666666666666664</v>
      </c>
      <c r="F13" s="995">
        <f>SUBTOTAL(9,F9:F12)</f>
        <v>777</v>
      </c>
      <c r="G13" s="996">
        <f t="shared" si="1"/>
        <v>129.5</v>
      </c>
      <c r="H13" s="995">
        <f>SUBTOTAL(9,H9:H12)</f>
        <v>764</v>
      </c>
      <c r="I13" s="996">
        <f>IF(ISNUMBER(H13/B13),H13/B13," - ")</f>
        <v>127.33333333333333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298</v>
      </c>
      <c r="E15" s="415">
        <f t="shared" ref="E15:E18" si="3">IF(ISNUMBER(D15/B15),D15/B15," - ")</f>
        <v>74.5</v>
      </c>
      <c r="F15" s="414">
        <f>IF(ISNUMBER(Datos!N15),Datos!N15," - ")</f>
        <v>2441</v>
      </c>
      <c r="G15" s="415">
        <f t="shared" ref="G15:G18" si="4">IF(ISNUMBER(F15/B15),F15/B15," - ")</f>
        <v>610.25</v>
      </c>
      <c r="H15" s="414">
        <f>IF(ISNUMBER(Datos!O15),Datos!O15," - ")</f>
        <v>82</v>
      </c>
      <c r="I15" s="415">
        <f t="shared" ref="I15:I17" si="5">IF(ISNUMBER(H15/B15),H15/B15," - ")</f>
        <v>20.5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18</v>
      </c>
      <c r="E17" s="415">
        <f>IF(ISNUMBER(D17/B17),D17/B17," - ")</f>
        <v>18</v>
      </c>
      <c r="F17" s="414">
        <f>IF(ISNUMBER(Datos!N17),Datos!N17," - ")</f>
        <v>196</v>
      </c>
      <c r="G17" s="415">
        <f>IF(ISNUMBER(F17/B17),F17/B17," - ")</f>
        <v>196</v>
      </c>
      <c r="H17" s="414">
        <f>IF(ISNUMBER(Datos!O17),Datos!O17," - ")</f>
        <v>0</v>
      </c>
      <c r="I17" s="415">
        <f t="shared" si="5"/>
        <v>0</v>
      </c>
    </row>
    <row r="18" spans="1:9" ht="14.25" thickTop="1" thickBot="1">
      <c r="A18" s="994" t="str">
        <f>Datos!A18</f>
        <v>TOTAL</v>
      </c>
      <c r="B18" s="995">
        <f>Datos!AO18</f>
        <v>5</v>
      </c>
      <c r="C18" s="997">
        <f>Datos!AR18</f>
        <v>5</v>
      </c>
      <c r="D18" s="995">
        <f>SUBTOTAL(9,D15:D17)</f>
        <v>316</v>
      </c>
      <c r="E18" s="996">
        <f t="shared" si="3"/>
        <v>63.2</v>
      </c>
      <c r="F18" s="995">
        <f>SUBTOTAL(9,F15:F17)</f>
        <v>2637</v>
      </c>
      <c r="G18" s="996">
        <f t="shared" si="4"/>
        <v>527.4</v>
      </c>
      <c r="H18" s="995">
        <f>SUBTOTAL(9,H15:H17)</f>
        <v>82</v>
      </c>
      <c r="I18" s="996">
        <f>IF(ISNUMBER(H18/B18),H18/B18," - ")</f>
        <v>16.399999999999999</v>
      </c>
    </row>
    <row r="19" spans="1:9" ht="14.25" thickTop="1" thickBot="1">
      <c r="A19" s="939" t="str">
        <f>Datos!A19</f>
        <v>TOTAL JURISDICCIONES</v>
      </c>
      <c r="B19" s="940">
        <f>Datos!AP19</f>
        <v>10</v>
      </c>
      <c r="C19" s="940">
        <f>Datos!AR19</f>
        <v>10</v>
      </c>
      <c r="D19" s="940">
        <f>SUBTOTAL(9,D8:D18)</f>
        <v>662</v>
      </c>
      <c r="E19" s="941">
        <f>IF(ISNUMBER(D19/B19),D19/B19," - ")</f>
        <v>66.2</v>
      </c>
      <c r="F19" s="940">
        <f>SUBTOTAL(9,F8:F18)</f>
        <v>3414</v>
      </c>
      <c r="G19" s="941">
        <f>IF(ISNUMBER(F19/B19),F19/B19," - ")</f>
        <v>341.4</v>
      </c>
      <c r="H19" s="940">
        <f>SUBTOTAL(9,H8:H18)</f>
        <v>846</v>
      </c>
      <c r="I19" s="941">
        <f>IF(ISNUMBER(H19/B19),H19/B19," - ")</f>
        <v>84.6</v>
      </c>
    </row>
    <row r="22" spans="1:9">
      <c r="A22" s="402" t="str">
        <f>Criterios!A4</f>
        <v>Fecha Informe: 29 nov. 2023</v>
      </c>
    </row>
    <row r="27" spans="1:9">
      <c r="A27" s="425"/>
    </row>
  </sheetData>
  <sheetProtection algorithmName="SHA-512" hashValue="i3foqX+/7AFXqQAAqOa+8ED6MrBnkK7zxcQjrXlHCJIYNcpA+CSgmbb8/NB3I6FgB7qXfWZnKg/2rvIL9foWRg==" saltValue="jIXb0VzjZxxq0Vwx3zy+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FUENGIROLA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451</v>
      </c>
      <c r="C9" s="450">
        <f>IF(ISNUMBER(Datos!Q9),Datos!Q9," - ")</f>
        <v>639</v>
      </c>
      <c r="D9" s="419">
        <f>IF(ISNUMBER(Datos!R9),Datos!R9," - ")</f>
        <v>7270</v>
      </c>
    </row>
    <row r="10" spans="1:4">
      <c r="A10" s="413" t="str">
        <f>Datos!A10</f>
        <v>Jdos. Violencia contra la mujer</v>
      </c>
      <c r="B10" s="449">
        <f>IF(ISNUMBER(Datos!P10),Datos!P10," - ")</f>
        <v>5</v>
      </c>
      <c r="C10" s="450">
        <f>IF(ISNUMBER(Datos!Q10),Datos!Q10," - ")</f>
        <v>9</v>
      </c>
      <c r="D10" s="419">
        <f>IF(ISNUMBER(Datos!R10),Datos!R10," - ")</f>
        <v>83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456</v>
      </c>
      <c r="C13" s="999">
        <f>SUBTOTAL(9,C9:C12)</f>
        <v>648</v>
      </c>
      <c r="D13" s="997">
        <f>SUBTOTAL(9,D9:D12)</f>
        <v>7353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106</v>
      </c>
      <c r="C15" s="450">
        <f>IF(ISNUMBER(Datos!Q15),Datos!Q15," - ")</f>
        <v>87</v>
      </c>
      <c r="D15" s="419">
        <f>IF(ISNUMBER(Datos!R15),Datos!R15," - ")</f>
        <v>304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3</v>
      </c>
    </row>
    <row r="18" spans="1:4" ht="14.25" thickTop="1" thickBot="1">
      <c r="A18" s="994" t="str">
        <f>Datos!A18</f>
        <v>TOTAL</v>
      </c>
      <c r="B18" s="995">
        <f>SUBTOTAL(9,B15:B17)</f>
        <v>106</v>
      </c>
      <c r="C18" s="999">
        <f>SUBTOTAL(9,C15:C17)</f>
        <v>89</v>
      </c>
      <c r="D18" s="997">
        <f>SUBTOTAL(9,D15:D17)</f>
        <v>307</v>
      </c>
    </row>
    <row r="19" spans="1:4" ht="16.5" customHeight="1" thickTop="1" thickBot="1">
      <c r="A19" s="939" t="str">
        <f>Datos!A19</f>
        <v>TOTAL JURISDICCIONES</v>
      </c>
      <c r="B19" s="944">
        <f>SUBTOTAL(9,B8:B18)</f>
        <v>562</v>
      </c>
      <c r="C19" s="945">
        <f>SUBTOTAL(9,C8:C18)</f>
        <v>737</v>
      </c>
      <c r="D19" s="946">
        <f>SUBTOTAL(9,D8:D18)</f>
        <v>7660</v>
      </c>
    </row>
    <row r="20" spans="1:4" ht="7.5" customHeight="1"/>
    <row r="21" spans="1:4" ht="6" customHeight="1"/>
    <row r="22" spans="1:4">
      <c r="A22" s="402" t="str">
        <f>Criterios!A4</f>
        <v>Fecha Informe: 29 nov. 2023</v>
      </c>
    </row>
    <row r="27" spans="1:4">
      <c r="A27" s="425"/>
    </row>
  </sheetData>
  <sheetProtection algorithmName="SHA-512" hashValue="gdlX8eLXFLJw3FyXcNx1nW3d90TUed2mFt/s6qXAxFlIROq573d2qcrO02VJkNZWvlVhjLBQHQ1txNz1apbYHg==" saltValue="vEs+hHINZm/V+0F7P++C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FUENGIROLA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0.21430018229694145</v>
      </c>
      <c r="C9" s="472">
        <f>IF(ISNUMBER(
   IF(J_V="SI",(Datos!J9-Datos!T9)/Datos!T9,(Datos!J9+Datos!Z9-(Datos!T9+Datos!AH9))/(Datos!T9+Datos!AH9))
     ),IF(J_V="SI",(Datos!J9-Datos!T9)/Datos!T9,(Datos!J9+Datos!Z9-(Datos!T9+Datos!AH9))/(Datos!T9+Datos!AH9))," - ")</f>
        <v>0.30350788002033552</v>
      </c>
      <c r="D9" s="472">
        <f>IF(ISNUMBER(
   IF(J_V="SI",(Datos!K9-Datos!U9)/Datos!U9,(Datos!K9+Datos!AA9-(Datos!U9+Datos!AI9))/(Datos!U9+Datos!AI9))
     ),IF(J_V="SI",(Datos!K9-Datos!U9)/Datos!U9,(Datos!K9+Datos!AA9-(Datos!U9+Datos!AI9))/(Datos!U9+Datos!AI9))," - ")</f>
        <v>-0.17694235588972432</v>
      </c>
      <c r="E9" s="472">
        <f>IF(ISNUMBER(
   IF(J_V="SI",(Datos!L9-Datos!V9)/Datos!V9,(Datos!L9+Datos!AB9-(Datos!V9+Datos!AJ9))/(Datos!V9+Datos!AJ9))
     ),IF(J_V="SI",(Datos!L9-Datos!V9)/Datos!V9,(Datos!L9+Datos!AB9-(Datos!V9+Datos!AJ9))/(Datos!V9+Datos!AJ9))," - ")</f>
        <v>0.32789402956421576</v>
      </c>
      <c r="F9" s="472">
        <f>IF(ISNUMBER((Datos!M9-Datos!W9)/Datos!W9),(Datos!M9-Datos!W9)/Datos!W9," - ")</f>
        <v>-5.3672316384180789E-2</v>
      </c>
      <c r="G9" s="473">
        <f>IF(ISNUMBER((Datos!N9-Datos!X9)/Datos!X9),(Datos!N9-Datos!X9)/Datos!X9," - ")</f>
        <v>-0.1140861466821886</v>
      </c>
      <c r="H9" s="471">
        <f>IF(ISNUMBER(((NºAsuntos!G9/NºAsuntos!E9)-Datos!BD9)/Datos!BD9),((NºAsuntos!G9/NºAsuntos!E9)-Datos!BD9)/Datos!BD9," - ")</f>
        <v>-0.3685825327749952</v>
      </c>
      <c r="I9" s="472">
        <f>IF(ISNUMBER(((NºAsuntos!I9/NºAsuntos!G9)-Datos!BE9)/Datos!BE9),((NºAsuntos!I9/NºAsuntos!G9)-Datos!BE9)/Datos!BE9," - ")</f>
        <v>0.61336698476285656</v>
      </c>
      <c r="J9" s="477">
        <f>IF(ISNUMBER((('Resol  Asuntos'!D9/NºAsuntos!G9)-Datos!BF9)/Datos!BF9),(('Resol  Asuntos'!D9/NºAsuntos!G9)-Datos!BF9)/Datos!BF9," - ")</f>
        <v>-0.52617126959796612</v>
      </c>
      <c r="K9" s="478">
        <f>IF(ISNUMBER((((NºAsuntos!C9+NºAsuntos!E9)/NºAsuntos!G9)-Datos!BG9)/Datos!BG9),(((NºAsuntos!C9+NºAsuntos!E9)/NºAsuntos!G9)-Datos!BG9)/Datos!BG9," - ")</f>
        <v>0.50623241941334285</v>
      </c>
    </row>
    <row r="10" spans="1:11">
      <c r="A10" s="413" t="str">
        <f>Datos!A10</f>
        <v>Jdos. Violencia contra la mujer</v>
      </c>
      <c r="B10" s="471">
        <f>IF(ISNUMBER((Datos!I10-Datos!S10)/Datos!S10),(Datos!I10-Datos!S10)/Datos!S10," - ")</f>
        <v>-0.22689075630252101</v>
      </c>
      <c r="C10" s="472">
        <f>IF(ISNUMBER((Datos!J10-Datos!T10)/Datos!T10),(Datos!J10-Datos!T10)/Datos!T10," - ")</f>
        <v>-0.4</v>
      </c>
      <c r="D10" s="472">
        <f>IF(ISNUMBER((Datos!K10-Datos!U10)/Datos!U10),(Datos!K10-Datos!U10)/Datos!U10," - ")</f>
        <v>0.36842105263157893</v>
      </c>
      <c r="E10" s="472">
        <f>IF(ISNUMBER((Datos!L10-Datos!V10)/Datos!V10),(Datos!L10-Datos!V10)/Datos!V10," - ")</f>
        <v>-0.19008264462809918</v>
      </c>
      <c r="F10" s="472">
        <f>IF(ISNUMBER((Datos!M10-Datos!W10)/Datos!W10),(Datos!M10-Datos!W10)/Datos!W10," - ")</f>
        <v>0.83333333333333337</v>
      </c>
      <c r="G10" s="473">
        <f>IF(ISNUMBER((Datos!N10-Datos!X10)/Datos!X10),(Datos!N10-Datos!X10)/Datos!X10," - ")</f>
        <v>0.77777777777777779</v>
      </c>
      <c r="H10" s="471">
        <f>IF(ISNUMBER(((NºAsuntos!G10/NºAsuntos!E10)-Datos!BD10)/Datos!BD10),((NºAsuntos!G10/NºAsuntos!E10)-Datos!BD10)/Datos!BD10," - ")</f>
        <v>1.2807017543859651</v>
      </c>
      <c r="I10" s="472">
        <f>IF(ISNUMBER(((NºAsuntos!I10/NºAsuntos!G10)-Datos!BE10)/Datos!BE10),((NºAsuntos!I10/NºAsuntos!G10)-Datos!BE10)/Datos!BE10," - ")</f>
        <v>-0.40813731722822633</v>
      </c>
      <c r="J10" s="477">
        <f>IF(ISNUMBER((('Resol  Asuntos'!D10/NºAsuntos!G10)-Datos!BF10)/Datos!BF10),(('Resol  Asuntos'!D10/NºAsuntos!G10)-Datos!BF10)/Datos!BF10," - ")</f>
        <v>0.33974358974358981</v>
      </c>
      <c r="K10" s="478">
        <f>IF(ISNUMBER((((NºAsuntos!C10+NºAsuntos!E10)/NºAsuntos!G10)-Datos!BG10)/Datos!BG10),(((NºAsuntos!C10+NºAsuntos!E10)/NºAsuntos!G10)-Datos!BG10)/Datos!BG10," - ")</f>
        <v>-0.46378621378621382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0.20391613924050633</v>
      </c>
      <c r="C13" s="1001">
        <f>IF(ISNUMBER(
   IF(J_V="SI",(Datos!J13-Datos!T13)/Datos!T13,(Datos!J13+Datos!Z13-(Datos!T13+Datos!AH13))/(Datos!T13+Datos!AH13))
     ),IF(J_V="SI",(Datos!J13-Datos!T13)/Datos!T13,(Datos!J13+Datos!Z13-(Datos!T13+Datos!AH13))/(Datos!T13+Datos!AH13))," - ")</f>
        <v>0.29120879120879123</v>
      </c>
      <c r="D13" s="1001">
        <f>IF(ISNUMBER(
   IF(J_V="SI",(Datos!K13-Datos!U13)/Datos!U13,(Datos!K13+Datos!AA13-(Datos!U13+Datos!AI13))/(Datos!U13+Datos!AI13))
     ),IF(J_V="SI",(Datos!K13-Datos!U13)/Datos!U13,(Datos!K13+Datos!AA13-(Datos!U13+Datos!AI13))/(Datos!U13+Datos!AI13))," - ")</f>
        <v>-0.17179741807348561</v>
      </c>
      <c r="E13" s="1001">
        <f>IF(ISNUMBER(
   IF(J_V="SI",(Datos!L13-Datos!V13)/Datos!V13,(Datos!L13+Datos!AB13-(Datos!V13+Datos!AJ13))/(Datos!V13+Datos!AJ13))
     ),IF(J_V="SI",(Datos!L13-Datos!V13)/Datos!V13,(Datos!L13+Datos!AB13-(Datos!V13+Datos!AJ13))/(Datos!V13+Datos!AJ13))," - ")</f>
        <v>0.31613508442776733</v>
      </c>
      <c r="F13" s="1002">
        <f>IF(ISNUMBER((Datos!M13-Datos!W13)/Datos!W13),(Datos!M13-Datos!W13)/Datos!W13," - ")</f>
        <v>-3.888888888888889E-2</v>
      </c>
      <c r="G13" s="1003">
        <f>IF(ISNUMBER((Datos!N13-Datos!X13)/Datos!X13),(Datos!N13-Datos!X13)/Datos!X13," - ")</f>
        <v>-0.10483870967741936</v>
      </c>
      <c r="H13" s="1003">
        <f>IF(ISNUMBER(((NºAsuntos!G13/NºAsuntos!E13)-Datos!BD13)/Datos!BD13),((NºAsuntos!G13/NºAsuntos!E13)-Datos!BD13)/Datos!BD13," - ")</f>
        <v>-0.35858353229521012</v>
      </c>
      <c r="I13" s="1003">
        <f>IF(ISNUMBER(((NºAsuntos!I13/NºAsuntos!G13)-Datos!BE13)/Datos!BE13),((NºAsuntos!I13/NºAsuntos!G13)-Datos!BE13)/Datos!BE13," - ")</f>
        <v>0.58914631896734015</v>
      </c>
      <c r="J13" s="1003">
        <f>IF(ISNUMBER((('Resol  Asuntos'!D13/NºAsuntos!G13)-Datos!BF13)/Datos!BF13),(('Resol  Asuntos'!D13/NºAsuntos!G13)-Datos!BF13)/Datos!BF13," - ")</f>
        <v>-0.51702637889688252</v>
      </c>
      <c r="K13" s="1003">
        <f>IF(ISNUMBER((((NºAsuntos!C13+NºAsuntos!E13)/NºAsuntos!G13)-Datos!BG13)/Datos!BG13),(((NºAsuntos!C13+NºAsuntos!E13)/NºAsuntos!G13)-Datos!BG13)/Datos!BG13," - ")</f>
        <v>0.48354606198860678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0.25666666666666665</v>
      </c>
      <c r="C15" s="472">
        <f>IF(ISNUMBER(
   IF(D_I="SI",(Datos!J15-Datos!T15)/Datos!T15,(Datos!J15+Datos!AD15-(Datos!T15+Datos!AL15))/(Datos!T15+Datos!AL15))
     ),IF(D_I="SI",(Datos!J15-Datos!T15)/Datos!T15,(Datos!J15+Datos!AD15-(Datos!T15+Datos!AL15))/(Datos!T15+Datos!AL15))," - ")</f>
        <v>0.10689758136757241</v>
      </c>
      <c r="D15" s="472">
        <f>IF(ISNUMBER(
   IF(D_I="SI",(Datos!K15-Datos!U15)/Datos!U15,(Datos!K15+Datos!AE15-(Datos!U15+Datos!AM15))/(Datos!U15+Datos!AM15))
     ),IF(D_I="SI",(Datos!K15-Datos!U15)/Datos!U15,(Datos!K15+Datos!AE15-(Datos!U15+Datos!AM15))/(Datos!U15+Datos!AM15))," - ")</f>
        <v>9.8669965975873797E-2</v>
      </c>
      <c r="E15" s="472">
        <f>IF(ISNUMBER(
   IF(D_I="SI",(Datos!L15-Datos!V15)/Datos!V15,(Datos!L15+Datos!AF15-(Datos!V15+Datos!AN15))/(Datos!V15+Datos!AN15))
     ),IF(D_I="SI",(Datos!L15-Datos!V15)/Datos!V15,(Datos!L15+Datos!AF15-(Datos!V15+Datos!AN15))/(Datos!V15+Datos!AN15))," - ")</f>
        <v>0.23640319071791152</v>
      </c>
      <c r="F15" s="472">
        <f>IF(ISNUMBER((Datos!M15-Datos!W15)/Datos!W15),(Datos!M15-Datos!W15)/Datos!W15," - ")</f>
        <v>-7.7399380804953566E-2</v>
      </c>
      <c r="G15" s="473">
        <f>IF(ISNUMBER((Datos!N15-Datos!X15)/Datos!X15),(Datos!N15-Datos!X15)/Datos!X15," - ")</f>
        <v>0.12488479262672811</v>
      </c>
      <c r="H15" s="471">
        <f>IF(ISNUMBER(((NºAsuntos!G15/NºAsuntos!E15)-Datos!BD15)/Datos!BD15),((NºAsuntos!G15/NºAsuntos!E15)-Datos!BD15)/Datos!BD15," - ")</f>
        <v>-7.4330412589152127E-3</v>
      </c>
      <c r="I15" s="472">
        <f>IF(ISNUMBER(((NºAsuntos!I15/NºAsuntos!G15)-Datos!BE15)/Datos!BE15),((NºAsuntos!I15/NºAsuntos!G15)-Datos!BE15)/Datos!BE15," - ")</f>
        <v>0.12536360236233324</v>
      </c>
      <c r="J15" s="477">
        <f>IF(ISNUMBER((('Resol  Asuntos'!D15/NºAsuntos!G15)-Datos!BF15)/Datos!BF15),(('Resol  Asuntos'!D15/NºAsuntos!G15)-Datos!BF15)/Datos!BF15," - ")</f>
        <v>-0.16025681254009422</v>
      </c>
      <c r="K15" s="478">
        <f>IF(ISNUMBER((((NºAsuntos!C15+NºAsuntos!E15)/NºAsuntos!G15)-Datos!BG15)/Datos!BG15),(((NºAsuntos!C15+NºAsuntos!E15)/NºAsuntos!G15)-Datos!BG15)/Datos!BG15," - ")</f>
        <v>4.3448750740188335E-2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-1.4336917562724014E-2</v>
      </c>
      <c r="C17" s="472">
        <f>IF(ISNUMBER(
   IF(D_I="SI",(Datos!J17-Datos!T17)/Datos!T17,(Datos!J17+Datos!AD17-(Datos!T17+Datos!AL17))/(Datos!T17+Datos!AL17))
     ),IF(D_I="SI",(Datos!J17-Datos!T17)/Datos!T17,(Datos!J17+Datos!AD17-(Datos!T17+Datos!AL17))/(Datos!T17+Datos!AL17))," - ")</f>
        <v>5.4794520547945202E-2</v>
      </c>
      <c r="D17" s="472">
        <f>IF(ISNUMBER(
   IF(D_I="SI",(Datos!K17-Datos!U17)/Datos!U17,(Datos!K17+Datos!AE17-(Datos!U17+Datos!AM17))/(Datos!U17+Datos!AM17))
     ),IF(D_I="SI",(Datos!K17-Datos!U17)/Datos!U17,(Datos!K17+Datos!AE17-(Datos!U17+Datos!AM17))/(Datos!U17+Datos!AM17))," - ")</f>
        <v>0.18148148148148149</v>
      </c>
      <c r="E17" s="472">
        <f>IF(ISNUMBER(
   IF(D_I="SI",(Datos!L17-Datos!V17)/Datos!V17,(Datos!L17+Datos!AF17-(Datos!V17+Datos!AN17))/(Datos!V17+Datos!AN17))
     ),IF(D_I="SI",(Datos!L17-Datos!V17)/Datos!V17,(Datos!L17+Datos!AF17-(Datos!V17+Datos!AN17))/(Datos!V17+Datos!AN17))," - ")</f>
        <v>-0.12786885245901639</v>
      </c>
      <c r="F17" s="472">
        <f>IF(ISNUMBER((Datos!M17-Datos!W17)/Datos!W17),(Datos!M17-Datos!W17)/Datos!W17," - ")</f>
        <v>-0.1</v>
      </c>
      <c r="G17" s="473">
        <f>IF(ISNUMBER((Datos!N17-Datos!X17)/Datos!X17),(Datos!N17-Datos!X17)/Datos!X17," - ")</f>
        <v>0.3611111111111111</v>
      </c>
      <c r="H17" s="471">
        <f>IF(ISNUMBER(((NºAsuntos!G17/NºAsuntos!E17)-Datos!BD17)/Datos!BD17),((NºAsuntos!G17/NºAsuntos!E17)-Datos!BD17)/Datos!BD17," - ")</f>
        <v>0.12010582010582017</v>
      </c>
      <c r="I17" s="472">
        <f>IF(ISNUMBER(((NºAsuntos!I17/NºAsuntos!G17)-Datos!BE17)/Datos!BE17),((NºAsuntos!I17/NºAsuntos!G17)-Datos!BE17)/Datos!BE17," - ")</f>
        <v>-0.26183257104681629</v>
      </c>
      <c r="J17" s="477">
        <f>IF(ISNUMBER((('Resol  Asuntos'!D17/NºAsuntos!G17)-Datos!BF17)/Datos!BF17),(('Resol  Asuntos'!D17/NºAsuntos!G17)-Datos!BF17)/Datos!BF17," - ")</f>
        <v>-0.23824451410658298</v>
      </c>
      <c r="K17" s="478">
        <f>IF(ISNUMBER((((NºAsuntos!C17+NºAsuntos!E17)/NºAsuntos!G17)-Datos!BG17)/Datos!BG17),(((NºAsuntos!C17+NºAsuntos!E17)/NºAsuntos!G17)-Datos!BG17)/Datos!BG17," - ")</f>
        <v>-0.13581738027658666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0.20554428668018931</v>
      </c>
      <c r="C18" s="1001">
        <f>IF(ISNUMBER(
   IF(Criterios!B14="SI",(Datos!J18-Datos!T18)/Datos!T18,(Datos!J18+Datos!AD18-(Datos!T18+Datos!AL18))/(Datos!T18+Datos!AL18))
     ),IF(Criterios!B14="SI",(Datos!J18-Datos!T18)/Datos!T18,(Datos!J18+Datos!AD18-(Datos!T18+Datos!AL18))/(Datos!T18+Datos!AL18))," - ")</f>
        <v>0.1027190332326284</v>
      </c>
      <c r="D18" s="1001">
        <f>IF(ISNUMBER(
   IF(Criterios!B14="SI",(Datos!K18-Datos!U18)/Datos!U18,(Datos!K18+Datos!AE18-(Datos!U18+Datos!AM18))/(Datos!U18+Datos!AM18))
     ),IF(Criterios!B14="SI",(Datos!K18-Datos!U18)/Datos!U18,(Datos!K18+Datos!AE18-(Datos!U18+Datos!AM18))/(Datos!U18+Datos!AM18))," - ")</f>
        <v>0.10505281187553525</v>
      </c>
      <c r="E18" s="1001">
        <f>IF(ISNUMBER(
   IF(Criterios!B14="SI",(Datos!L18-Datos!V18)/Datos!V18,(Datos!L18+Datos!AF18-(Datos!V18+Datos!AN18))/(Datos!V18+Datos!AN18))
     ),IF(Criterios!B14="SI",(Datos!L18-Datos!V18)/Datos!V18,(Datos!L18+Datos!AF18-(Datos!V18+Datos!AN18))/(Datos!V18+Datos!AN18))," - ")</f>
        <v>0.17042755344418054</v>
      </c>
      <c r="F18" s="1002">
        <f>IF(ISNUMBER((Datos!M18-Datos!W18)/Datos!W18),(Datos!M18-Datos!W18)/Datos!W18," - ")</f>
        <v>-7.8717201166180764E-2</v>
      </c>
      <c r="G18" s="1003">
        <f>IF(ISNUMBER((Datos!N18-Datos!X18)/Datos!X18),(Datos!N18-Datos!X18)/Datos!X18," - ")</f>
        <v>0.13958513396715644</v>
      </c>
      <c r="H18" s="1003">
        <f>IF(ISNUMBER(((NºAsuntos!G18/NºAsuntos!E18)-Datos!BD18)/Datos!BD18),((NºAsuntos!G18/NºAsuntos!E18)-Datos!BD18)/Datos!BD18," - ")</f>
        <v>2.1163855638414693E-3</v>
      </c>
      <c r="I18" s="1003">
        <f>IF(ISNUMBER(((NºAsuntos!I18/NºAsuntos!G18)-Datos!BE18)/Datos!BE18),((NºAsuntos!I18/NºAsuntos!G18)-Datos!BE18)/Datos!BE18," - ")</f>
        <v>5.9159834594410848E-2</v>
      </c>
      <c r="J18" s="1003">
        <f>IF(ISNUMBER((('Resol  Asuntos'!D18/NºAsuntos!G18)-Datos!BF18)/Datos!BF18),(('Resol  Asuntos'!D18/NºAsuntos!G18)-Datos!BF18)/Datos!BF18," - ")</f>
        <v>-0.16629975605402517</v>
      </c>
      <c r="K18" s="1003">
        <f>IF(ISNUMBER((((NºAsuntos!C18+NºAsuntos!E18)/NºAsuntos!G18)-Datos!BG18)/Datos!BG18),(((NºAsuntos!C18+NºAsuntos!E18)/NºAsuntos!G18)-Datos!BG18)/Datos!BG18," - ")</f>
        <v>2.4767199205631599E-2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0.20428462127008415</v>
      </c>
      <c r="C19" s="948">
        <f>IF(ISNUMBER(
   IF(J_V="SI",(Datos!J19-Datos!T19)/Datos!T19,(Datos!J19+Datos!Z19-(Datos!T19+Datos!AH19))/(Datos!T19+Datos!AH19))
     ),IF(J_V="SI",(Datos!J19-Datos!T19)/Datos!T19,(Datos!J19+Datos!Z19-(Datos!T19+Datos!AH19))/(Datos!T19+Datos!AH19))," - ")</f>
        <v>0.16959064327485379</v>
      </c>
      <c r="D19" s="948">
        <f>IF(ISNUMBER(
   IF(J_V="SI",(Datos!K19-Datos!U19)/Datos!U19,(Datos!K19+Datos!AA19-(Datos!U19+Datos!AI19))/(Datos!U19+Datos!AI19))
     ),IF(J_V="SI",(Datos!K19-Datos!U19)/Datos!U19,(Datos!K19+Datos!AA19-(Datos!U19+Datos!AI19))/(Datos!U19+Datos!AI19))," - ")</f>
        <v>3.9876744607576578E-3</v>
      </c>
      <c r="E19" s="948">
        <f>IF(ISNUMBER(
   IF(J_V="SI",(Datos!L19-Datos!V19)/Datos!V19,(Datos!L19+Datos!AB19-(Datos!V19+Datos!AJ19))/(Datos!V19+Datos!AJ19))
     ),IF(J_V="SI",(Datos!L19-Datos!V19)/Datos!V19,(Datos!L19+Datos!AB19-(Datos!V19+Datos!AJ19))/(Datos!V19+Datos!AJ19))," - ")</f>
        <v>0.28115198175078415</v>
      </c>
      <c r="F19" s="949">
        <f>IF(ISNUMBER((Datos!M19-Datos!W19)/Datos!W19),(Datos!M19-Datos!W19)/Datos!W19," - ")</f>
        <v>-5.8321479374110953E-2</v>
      </c>
      <c r="G19" s="950">
        <f>IF(ISNUMBER((Datos!N19-Datos!X19)/Datos!X19),(Datos!N19-Datos!X19)/Datos!X19," - ")</f>
        <v>7.2910119421747327E-2</v>
      </c>
      <c r="H19" s="951">
        <f>IF(ISNUMBER((Tasas!B19-Datos!BD19)/Datos!BD19),(Tasas!B19-Datos!BD19)/Datos!BD19," - ")</f>
        <v>-0.14159053833605223</v>
      </c>
      <c r="I19" s="952">
        <f>IF(ISNUMBER((Tasas!C19-Datos!BE19)/Datos!BE19),(Tasas!C19-Datos!BE19)/Datos!BE19," - ")</f>
        <v>0.27606345609660166</v>
      </c>
      <c r="J19" s="953">
        <f>IF(ISNUMBER((Tasas!D19-Datos!BF19)/Datos!BF19),(Tasas!D19-Datos!BF19)/Datos!BF19," - ")</f>
        <v>-0.45416337374116589</v>
      </c>
      <c r="K19" s="953">
        <f>IF(ISNUMBER((Tasas!E19-Datos!BG19)/Datos!BG19),(Tasas!E19-Datos!BG19)/Datos!BG19," - ")</f>
        <v>0.18348887600964817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a7Zh/JLHKYpm3Fa9utxsW0mlkdbnjJ2MTcBNCwxUBhUUHJqai3SNGCjx8GMnylyURQ3FcYUrU2Q0ivDh67M0w==" saltValue="JY4mRQq+8gXU6AqwtXjJ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FUENGIROLA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0.64040561622464898</v>
      </c>
      <c r="C9" s="459">
        <f>IF(ISNUMBER(NºAsuntos!I9/NºAsuntos!G9),NºAsuntos!I9/NºAsuntos!G9," - ")</f>
        <v>4.2125456760048721</v>
      </c>
      <c r="D9" s="460">
        <f>IF(ISNUMBER('Resol  Asuntos'!D9/NºAsuntos!G9),'Resol  Asuntos'!D9/NºAsuntos!G9," - ")</f>
        <v>0.20401948842874543</v>
      </c>
      <c r="E9" s="461">
        <f>IF(ISNUMBER((NºAsuntos!C9+NºAsuntos!E9)/NºAsuntos!G9),(NºAsuntos!C9+NºAsuntos!E9)/NºAsuntos!G9," - ")</f>
        <v>5.2125456760048721</v>
      </c>
      <c r="G9" s="479"/>
    </row>
    <row r="10" spans="1:7">
      <c r="A10" s="413" t="str">
        <f>Datos!A10</f>
        <v>Jdos. Violencia contra la mujer</v>
      </c>
      <c r="B10" s="458">
        <f>IF(ISNUMBER(NºAsuntos!G10/NºAsuntos!E10),NºAsuntos!G10/NºAsuntos!E10," - ")</f>
        <v>1.2380952380952381</v>
      </c>
      <c r="C10" s="459">
        <f>IF(ISNUMBER(NºAsuntos!I10/NºAsuntos!G10),NºAsuntos!I10/NºAsuntos!G10," - ")</f>
        <v>3.7692307692307692</v>
      </c>
      <c r="D10" s="460">
        <f>IF(ISNUMBER('Resol  Asuntos'!D10/NºAsuntos!G10),'Resol  Asuntos'!D10/NºAsuntos!G10," - ")</f>
        <v>0.42307692307692307</v>
      </c>
      <c r="E10" s="461">
        <f>IF(ISNUMBER((NºAsuntos!C10+NºAsuntos!E10)/NºAsuntos!G10),(NºAsuntos!C10+NºAsuntos!E10)/NºAsuntos!G10," - ")</f>
        <v>4.3461538461538458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0.64526112185686657</v>
      </c>
      <c r="C13" s="1005">
        <f>IF(ISNUMBER(NºAsuntos!I13/NºAsuntos!G13),NºAsuntos!I13/NºAsuntos!G13," - ")</f>
        <v>4.2056354916067145</v>
      </c>
      <c r="D13" s="1006">
        <f>IF(ISNUMBER('Resol  Asuntos'!D13/NºAsuntos!G13),'Resol  Asuntos'!D13/NºAsuntos!G13," - ")</f>
        <v>0.20743405275779375</v>
      </c>
      <c r="E13" s="1007">
        <f>IF(ISNUMBER((NºAsuntos!C13+NºAsuntos!E13)/NºAsuntos!G13),(NºAsuntos!C13+NºAsuntos!E13)/NºAsuntos!G13," - ")</f>
        <v>5.1990407673860908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0.95818721338009172</v>
      </c>
      <c r="C15" s="459">
        <f>IF(ISNUMBER(NºAsuntos!I15/NºAsuntos!G15),NºAsuntos!I15/NºAsuntos!G15," - ")</f>
        <v>0.48001126126126126</v>
      </c>
      <c r="D15" s="460">
        <f>IF(ISNUMBER('Resol  Asuntos'!D15/NºAsuntos!G15),'Resol  Asuntos'!D15/NºAsuntos!G15," - ")</f>
        <v>8.38963963963964E-2</v>
      </c>
      <c r="E15" s="461">
        <f>IF(ISNUMBER((NºAsuntos!C15+NºAsuntos!E15)/NºAsuntos!G15),(NºAsuntos!C15+NºAsuntos!E15)/NºAsuntos!G15," - ")</f>
        <v>1.4681869369369369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1.0357142857142858</v>
      </c>
      <c r="C17" s="459">
        <f>IF(ISNUMBER(NºAsuntos!I17/NºAsuntos!G17),NºAsuntos!I17/NºAsuntos!G17," - ")</f>
        <v>0.83385579937304077</v>
      </c>
      <c r="D17" s="460">
        <f>IF(ISNUMBER('Resol  Asuntos'!D17/NºAsuntos!G17),'Resol  Asuntos'!D17/NºAsuntos!G17," - ")</f>
        <v>5.6426332288401257E-2</v>
      </c>
      <c r="E17" s="461">
        <f>IF(ISNUMBER((NºAsuntos!C17+NºAsuntos!E17)/NºAsuntos!G17),(NºAsuntos!C17+NºAsuntos!E17)/NºAsuntos!G17," - ")</f>
        <v>1.8275862068965518</v>
      </c>
      <c r="G17" s="479"/>
    </row>
    <row r="18" spans="1:7" ht="14.25" thickTop="1" thickBot="1">
      <c r="A18" s="994" t="str">
        <f>Datos!A18</f>
        <v>TOTAL</v>
      </c>
      <c r="B18" s="1004">
        <f>IF(ISNUMBER(NºAsuntos!G18/NºAsuntos!E18),NºAsuntos!G18/NºAsuntos!E18," - ")</f>
        <v>0.9641344956413449</v>
      </c>
      <c r="C18" s="1005">
        <f>IF(ISNUMBER(NºAsuntos!I18/NºAsuntos!G18),NºAsuntos!I18/NºAsuntos!G18," - ")</f>
        <v>0.50917075691035907</v>
      </c>
      <c r="D18" s="1008">
        <f>IF(ISNUMBER('Resol  Asuntos'!D18/NºAsuntos!G18),'Resol  Asuntos'!D18/NºAsuntos!G18," - ")</f>
        <v>8.1632653061224483E-2</v>
      </c>
      <c r="E18" s="1007">
        <f>IF(ISNUMBER((NºAsuntos!C18+NºAsuntos!E18)/NºAsuntos!G18),(NºAsuntos!C18+NºAsuntos!E18)/NºAsuntos!G18," - ")</f>
        <v>1.4978041849651254</v>
      </c>
      <c r="G18" s="479"/>
    </row>
    <row r="19" spans="1:7" ht="15.75" customHeight="1" thickTop="1" thickBot="1">
      <c r="A19" s="939" t="str">
        <f>Datos!A19</f>
        <v>TOTAL JURISDICCIONES</v>
      </c>
      <c r="B19" s="954">
        <f>IF(ISNUMBER(NºAsuntos!G19/NºAsuntos!E19),NºAsuntos!G19/NºAsuntos!E19," - ")</f>
        <v>0.83924242424242423</v>
      </c>
      <c r="C19" s="955">
        <f>IF(ISNUMBER(NºAsuntos!I19/NºAsuntos!G19),NºAsuntos!I19/NºAsuntos!G19," - ")</f>
        <v>1.622314497201661</v>
      </c>
      <c r="D19" s="956">
        <f>IF(ISNUMBER('Resol  Asuntos'!D19/NºAsuntos!G19),'Resol  Asuntos'!D19/NºAsuntos!G19," - ")</f>
        <v>0.11951615815129085</v>
      </c>
      <c r="E19" s="957">
        <f>IF(ISNUMBER((NºAsuntos!C19+NºAsuntos!E19)/NºAsuntos!G19),(NºAsuntos!C19+NºAsuntos!E19)/NºAsuntos!G19," - ")</f>
        <v>2.6123849070229284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78Y5W3f1O9pgTCISkzKQv7XIeK2uq7c+yiQglYVTksewVgZ4pI5406lkxy3Xxm3tCMDb73iD0WsEkpQ3FEHdQ==" saltValue="a/X06Js0kVbPAipmnlyH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FUENGIROLA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451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639</v>
      </c>
      <c r="Y9" s="343">
        <f>SUM(W9:X9)</f>
        <v>639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7270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335</v>
      </c>
      <c r="AJ9" s="233" t="str">
        <f>IF(ISNUMBER(Datos!BW9),Datos!BW9," - ")</f>
        <v xml:space="preserve"> - </v>
      </c>
      <c r="AK9" s="232" t="str">
        <f>IF(ISNUMBER(Datos!BX9),Datos!BX9," - ")</f>
        <v xml:space="preserve"> - </v>
      </c>
      <c r="AL9" s="247">
        <f>IF(ISNUMBER(NºAsuntos!G9/NºAsuntos!E9),NºAsuntos!G9/NºAsuntos!E9," - ")</f>
        <v>0.64040561622464898</v>
      </c>
      <c r="AM9" s="264">
        <f>IF(ISNUMBER(((NºAsuntos!I9/NºAsuntos!G9)*11)/factor_trimestre),((NºAsuntos!I9/NºAsuntos!G9)*11)/factor_trimestre," - ")</f>
        <v>8.4250913520097441</v>
      </c>
      <c r="AN9" s="248">
        <f>IF(ISNUMBER('Resol  Asuntos'!D9/NºAsuntos!G9),'Resol  Asuntos'!D9/NºAsuntos!G9," - ")</f>
        <v>0.20401948842874543</v>
      </c>
      <c r="AO9" s="249">
        <f>IF(ISNUMBER((NºAsuntos!C9+NºAsuntos!E9)/NºAsuntos!G9),(NºAsuntos!C9+NºAsuntos!E9)/NºAsuntos!G9," - ")</f>
        <v>5.2125456760048721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103</v>
      </c>
      <c r="G10" s="342">
        <f>IF(ISNUMBER(Datos!I10),Datos!I10," - ")</f>
        <v>92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26</v>
      </c>
      <c r="X10" s="230">
        <f>IF(ISNUMBER(Datos!Q10),Datos!Q10," - ")</f>
        <v>9</v>
      </c>
      <c r="Y10" s="343">
        <f t="shared" ref="Y10:Y12" si="0">SUM(W10:X10)</f>
        <v>35</v>
      </c>
      <c r="Z10" s="344" t="str">
        <f>IF(ISNUMBER(Datos!CC10),Datos!CC10," - ")</f>
        <v xml:space="preserve"> - </v>
      </c>
      <c r="AA10" s="341">
        <f>IF(ISNUMBER(Datos!L10),Datos!L10,"-")</f>
        <v>98</v>
      </c>
      <c r="AB10" s="343">
        <f>IF(ISNUMBER(Datos!R10),Datos!R10," - ")</f>
        <v>83</v>
      </c>
      <c r="AC10" s="343">
        <f t="shared" ref="AC10:AC12" si="1">IF(ISNUMBER(AA10+AB10),AA10+AB10," - ")</f>
        <v>181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1.2380952380952381</v>
      </c>
      <c r="AM10" s="264">
        <f>IF(ISNUMBER(((NºAsuntos!I10/NºAsuntos!G10)*11)/factor_trimestre),((NºAsuntos!I10/NºAsuntos!G10)*11)/factor_trimestre," - ")</f>
        <v>7.5384615384615383</v>
      </c>
      <c r="AN10" s="248">
        <f>IF(ISNUMBER('Resol  Asuntos'!D10/NºAsuntos!G10),'Resol  Asuntos'!D10/NºAsuntos!G10," - ")</f>
        <v>0.42307692307692307</v>
      </c>
      <c r="AO10" s="249">
        <f>IF(ISNUMBER((NºAsuntos!C10+NºAsuntos!E10)/NºAsuntos!G10),(NºAsuntos!C10+NºAsuntos!E10)/NºAsuntos!G10," - ")</f>
        <v>4.3461538461538458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103</v>
      </c>
      <c r="G13" s="1012">
        <f t="shared" si="3"/>
        <v>92</v>
      </c>
      <c r="H13" s="1011">
        <f t="shared" si="3"/>
        <v>0</v>
      </c>
      <c r="I13" s="1013">
        <f t="shared" si="3"/>
        <v>0</v>
      </c>
      <c r="J13" s="1013">
        <f t="shared" si="3"/>
        <v>0</v>
      </c>
      <c r="K13" s="1013">
        <f t="shared" si="3"/>
        <v>0</v>
      </c>
      <c r="L13" s="1013">
        <f t="shared" si="3"/>
        <v>456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26</v>
      </c>
      <c r="X13" s="1013">
        <f t="shared" si="4"/>
        <v>648</v>
      </c>
      <c r="Y13" s="1014">
        <f t="shared" si="4"/>
        <v>674</v>
      </c>
      <c r="Z13" s="1014">
        <f t="shared" si="4"/>
        <v>0</v>
      </c>
      <c r="AA13" s="1014">
        <f t="shared" si="4"/>
        <v>98</v>
      </c>
      <c r="AB13" s="1014">
        <f t="shared" si="4"/>
        <v>7353</v>
      </c>
      <c r="AC13" s="1014">
        <f t="shared" si="4"/>
        <v>181</v>
      </c>
      <c r="AD13" s="1014">
        <f t="shared" si="4"/>
        <v>0</v>
      </c>
      <c r="AE13" s="1018">
        <f t="shared" si="4"/>
        <v>0</v>
      </c>
      <c r="AF13" s="1011">
        <f t="shared" si="4"/>
        <v>0</v>
      </c>
      <c r="AG13" s="1019">
        <f t="shared" si="4"/>
        <v>0</v>
      </c>
      <c r="AH13" s="1016">
        <f t="shared" si="4"/>
        <v>0</v>
      </c>
      <c r="AI13" s="1011">
        <f t="shared" si="4"/>
        <v>346</v>
      </c>
      <c r="AJ13" s="1013">
        <f t="shared" si="4"/>
        <v>0</v>
      </c>
      <c r="AK13" s="1016">
        <f>SUBTOTAL(9,AK9:AK12)</f>
        <v>0</v>
      </c>
      <c r="AL13" s="1020">
        <f>IF(ISNUMBER(NºAsuntos!G13/NºAsuntos!E13),NºAsuntos!G13/NºAsuntos!E13," - ")</f>
        <v>0.64526112185686657</v>
      </c>
      <c r="AM13" s="1020">
        <f>IF(ISNUMBER(((NºAsuntos!I13/NºAsuntos!G13)*11)/factor_trimestre),((NºAsuntos!I13/NºAsuntos!G13)*11)/factor_trimestre," - ")</f>
        <v>8.4112709832134289</v>
      </c>
      <c r="AN13" s="1021">
        <f>IF(ISNUMBER('Resol  Asuntos'!D13/NºAsuntos!G13),'Resol  Asuntos'!D13/NºAsuntos!G13," - ")</f>
        <v>0.20743405275779375</v>
      </c>
      <c r="AO13" s="1022">
        <f>IF(ISNUMBER((NºAsuntos!C13+NºAsuntos!E13)/NºAsuntos!G13),(NºAsuntos!C13+NºAsuntos!E13)/NºAsuntos!G13," - ")</f>
        <v>5.1990407673860908</v>
      </c>
      <c r="AP13" s="1023" t="str">
        <f t="shared" si="2"/>
        <v xml:space="preserve"> - </v>
      </c>
      <c r="AQ13" s="1023">
        <f>IF(ISNUMBER((H13-W13+K13)/(F13)),(H13-W13+K13)/(F13)," - ")</f>
        <v>-0.25242718446601942</v>
      </c>
      <c r="AR13" s="1024">
        <f>IF(ISNUMBER((Datos!P13-Datos!Q13)/(Datos!R13-Datos!P13+Datos!Q13)),(Datos!P13-Datos!Q13)/(Datos!R13-Datos!P13+Datos!Q13)," - ")</f>
        <v>-2.5447316103379723E-2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1550</v>
      </c>
      <c r="G15" s="342">
        <f>IF(ISNUMBER(IF(D_I="SI",Datos!I15,Datos!I15+Datos!AC15)),IF(D_I="SI",Datos!I15,Datos!I15+Datos!AC15)," - ")</f>
        <v>1508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3552</v>
      </c>
      <c r="X15" s="230">
        <f>IF(ISNUMBER(Datos!Q15),Datos!Q15," - ")</f>
        <v>87</v>
      </c>
      <c r="Y15" s="343">
        <f>SUM(W15)</f>
        <v>3552</v>
      </c>
      <c r="Z15" s="344" t="str">
        <f>IF(ISNUMBER(Datos!CC15),Datos!CC15," - ")</f>
        <v xml:space="preserve"> - </v>
      </c>
      <c r="AA15" s="341">
        <f>IF(ISNUMBER(IF(D_I="SI",Datos!L15,Datos!L15+Datos!AF15)),IF(D_I="SI",Datos!L15,Datos!L15+Datos!AF15)," - ")</f>
        <v>1705</v>
      </c>
      <c r="AB15" s="343">
        <f>IF(ISNUMBER(Datos!R15),Datos!R15," - ")</f>
        <v>304</v>
      </c>
      <c r="AC15" s="343">
        <f t="shared" ref="AC15:AC17" si="6">IF(ISNUMBER(AA15+AB15),AA15+AB15," - ")</f>
        <v>2009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298</v>
      </c>
      <c r="AJ15" s="235" t="str">
        <f>IF(ISNUMBER(Datos!BW15),Datos!BW15," - ")</f>
        <v xml:space="preserve"> - </v>
      </c>
      <c r="AK15" s="236" t="str">
        <f>IF(ISNUMBER(Datos!BX15),Datos!BX15," - ")</f>
        <v xml:space="preserve"> - </v>
      </c>
      <c r="AL15" s="247">
        <f>IF(ISNUMBER(NºAsuntos!G15/NºAsuntos!E15),NºAsuntos!G15/NºAsuntos!E15," - ")</f>
        <v>0.95818721338009172</v>
      </c>
      <c r="AM15" s="264">
        <f>IF(ISNUMBER(((NºAsuntos!I15/NºAsuntos!G15)*11)/factor_trimestre),((NºAsuntos!I15/NºAsuntos!G15)*11)/factor_trimestre," - ")</f>
        <v>0.96002252252252263</v>
      </c>
      <c r="AN15" s="248">
        <f>IF(ISNUMBER('Resol  Asuntos'!D15/NºAsuntos!G15),'Resol  Asuntos'!D15/NºAsuntos!G15," - ")</f>
        <v>8.38963963963964E-2</v>
      </c>
      <c r="AO15" s="249">
        <f>IF(ISNUMBER((NºAsuntos!C15+NºAsuntos!E15)/NºAsuntos!G15),(NºAsuntos!C15+NºAsuntos!E15)/NºAsuntos!G15," - ")</f>
        <v>1.4681869369369369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319</v>
      </c>
      <c r="X17" s="230">
        <f>IF(ISNUMBER(Datos!Q17),Datos!Q17," - ")</f>
        <v>2</v>
      </c>
      <c r="Y17" s="343">
        <f t="shared" si="7"/>
        <v>321</v>
      </c>
      <c r="Z17" s="344" t="str">
        <f>IF(ISNUMBER(Datos!CC17),Datos!CC17," - ")</f>
        <v xml:space="preserve"> - </v>
      </c>
      <c r="AA17" s="341">
        <f>IF(ISNUMBER(Datos!L17),Datos!L17,"-")</f>
        <v>266</v>
      </c>
      <c r="AB17" s="343">
        <f>IF(ISNUMBER(Datos!R17),Datos!R17," - ")</f>
        <v>3</v>
      </c>
      <c r="AC17" s="343">
        <f t="shared" si="6"/>
        <v>269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1.0357142857142858</v>
      </c>
      <c r="AM17" s="264">
        <f>IF(ISNUMBER(((NºAsuntos!I17/NºAsuntos!G17)*11)/factor_trimestre),((NºAsuntos!I17/NºAsuntos!G17)*11)/factor_trimestre," - ")</f>
        <v>1.6677115987460815</v>
      </c>
      <c r="AN17" s="248">
        <f>IF(ISNUMBER('Resol  Asuntos'!D17/NºAsuntos!G17),'Resol  Asuntos'!D17/NºAsuntos!G17," - ")</f>
        <v>5.6426332288401257E-2</v>
      </c>
      <c r="AO17" s="249">
        <f>IF(ISNUMBER((NºAsuntos!C17+NºAsuntos!E17)/NºAsuntos!G17),(NºAsuntos!C17+NºAsuntos!E17)/NºAsuntos!G17," - ")</f>
        <v>1.8275862068965518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1550</v>
      </c>
      <c r="G18" s="1012">
        <f>SUBTOTAL(9,G15:G17)</f>
        <v>1783</v>
      </c>
      <c r="H18" s="1011">
        <f t="shared" ref="H18:O18" si="10">SUBTOTAL(9,H14:H17)</f>
        <v>0</v>
      </c>
      <c r="I18" s="1013">
        <f t="shared" si="10"/>
        <v>0</v>
      </c>
      <c r="J18" s="1013">
        <f t="shared" si="10"/>
        <v>0</v>
      </c>
      <c r="K18" s="1013">
        <f t="shared" si="10"/>
        <v>0</v>
      </c>
      <c r="L18" s="1013">
        <f t="shared" si="10"/>
        <v>106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3871</v>
      </c>
      <c r="X18" s="1013">
        <f t="shared" si="11"/>
        <v>89</v>
      </c>
      <c r="Y18" s="1014">
        <f t="shared" si="11"/>
        <v>3873</v>
      </c>
      <c r="Z18" s="1014">
        <f t="shared" si="11"/>
        <v>0</v>
      </c>
      <c r="AA18" s="1014">
        <f t="shared" si="11"/>
        <v>1971</v>
      </c>
      <c r="AB18" s="1014">
        <f t="shared" si="11"/>
        <v>307</v>
      </c>
      <c r="AC18" s="1014">
        <f t="shared" si="11"/>
        <v>2278</v>
      </c>
      <c r="AD18" s="1014">
        <f t="shared" si="11"/>
        <v>0</v>
      </c>
      <c r="AE18" s="1018">
        <f t="shared" si="11"/>
        <v>0</v>
      </c>
      <c r="AF18" s="1011">
        <f t="shared" si="11"/>
        <v>0</v>
      </c>
      <c r="AG18" s="1019">
        <f t="shared" si="11"/>
        <v>0</v>
      </c>
      <c r="AH18" s="1016">
        <f t="shared" si="11"/>
        <v>0</v>
      </c>
      <c r="AI18" s="1011">
        <f t="shared" si="11"/>
        <v>316</v>
      </c>
      <c r="AJ18" s="1013">
        <f t="shared" si="11"/>
        <v>0</v>
      </c>
      <c r="AK18" s="1016">
        <f t="shared" si="11"/>
        <v>0</v>
      </c>
      <c r="AL18" s="1020">
        <f>IF(ISNUMBER(NºAsuntos!G18/NºAsuntos!E18),NºAsuntos!G18/NºAsuntos!E18," - ")</f>
        <v>0.9641344956413449</v>
      </c>
      <c r="AM18" s="1020">
        <f>IF(ISNUMBER(((NºAsuntos!I18/NºAsuntos!G18)*11)/factor_trimestre),((NºAsuntos!I18/NºAsuntos!G18)*11)/factor_trimestre," - ")</f>
        <v>1.0183415138207181</v>
      </c>
      <c r="AN18" s="1021">
        <f>IF(ISNUMBER('Resol  Asuntos'!D18/NºAsuntos!G18),'Resol  Asuntos'!D18/NºAsuntos!G18," - ")</f>
        <v>8.1632653061224483E-2</v>
      </c>
      <c r="AO18" s="1022">
        <f>IF(ISNUMBER((NºAsuntos!C18+NºAsuntos!E18)/NºAsuntos!G18),(NºAsuntos!C18+NºAsuntos!E18)/NºAsuntos!G18," - ")</f>
        <v>1.4978041849651254</v>
      </c>
      <c r="AP18" s="1023" t="str">
        <f t="shared" si="2"/>
        <v xml:space="preserve"> - </v>
      </c>
      <c r="AQ18" s="1023">
        <f>IF(ISNUMBER((H18-W18+K18)/(F18)),(H18-W18+K18)/(F18)," - ")</f>
        <v>-2.4974193548387098</v>
      </c>
      <c r="AR18" s="1024">
        <f>IF(ISNUMBER((Datos!P18-Datos!Q18)/(Datos!R18-Datos!P18+Datos!Q18)),(Datos!P18-Datos!Q18)/(Datos!R18-Datos!P18+Datos!Q18)," - ")</f>
        <v>5.8620689655172413E-2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1653</v>
      </c>
      <c r="G19" s="967">
        <f t="shared" si="13"/>
        <v>1875</v>
      </c>
      <c r="H19" s="966">
        <f t="shared" si="13"/>
        <v>0</v>
      </c>
      <c r="I19" s="968">
        <f t="shared" si="13"/>
        <v>0</v>
      </c>
      <c r="J19" s="968">
        <f t="shared" si="13"/>
        <v>0</v>
      </c>
      <c r="K19" s="1027">
        <f t="shared" si="13"/>
        <v>0</v>
      </c>
      <c r="L19" s="968">
        <f t="shared" si="13"/>
        <v>562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3897</v>
      </c>
      <c r="X19" s="967">
        <f t="shared" si="14"/>
        <v>737</v>
      </c>
      <c r="Y19" s="974">
        <f t="shared" si="14"/>
        <v>4547</v>
      </c>
      <c r="Z19" s="974">
        <f t="shared" si="14"/>
        <v>0</v>
      </c>
      <c r="AA19" s="974">
        <f t="shared" si="14"/>
        <v>2069</v>
      </c>
      <c r="AB19" s="974">
        <f t="shared" si="14"/>
        <v>7660</v>
      </c>
      <c r="AC19" s="974">
        <f t="shared" si="14"/>
        <v>2459</v>
      </c>
      <c r="AD19" s="974">
        <f t="shared" si="14"/>
        <v>0</v>
      </c>
      <c r="AE19" s="976">
        <f t="shared" si="14"/>
        <v>0</v>
      </c>
      <c r="AF19" s="977">
        <f t="shared" si="14"/>
        <v>0</v>
      </c>
      <c r="AG19" s="978">
        <f t="shared" si="14"/>
        <v>0</v>
      </c>
      <c r="AH19" s="976">
        <f t="shared" si="14"/>
        <v>0</v>
      </c>
      <c r="AI19" s="966">
        <f t="shared" si="14"/>
        <v>662</v>
      </c>
      <c r="AJ19" s="966">
        <f t="shared" si="14"/>
        <v>0</v>
      </c>
      <c r="AK19" s="976">
        <f t="shared" si="14"/>
        <v>0</v>
      </c>
      <c r="AL19" s="1030">
        <f>IF(ISNUMBER(NºAsuntos!G19/NºAsuntos!E19),NºAsuntos!G19/NºAsuntos!E19," - ")</f>
        <v>0.83924242424242423</v>
      </c>
      <c r="AM19" s="1031">
        <f>IF(ISNUMBER(((NºAsuntos!I19/NºAsuntos!G19)*11)/factor_trimestre),((NºAsuntos!I19/NºAsuntos!G19)*11)/factor_trimestre," - ")</f>
        <v>3.2446289944033215</v>
      </c>
      <c r="AN19" s="1031">
        <f>IF(ISNUMBER('Resol  Asuntos'!D19/NºAsuntos!G19),'Resol  Asuntos'!D19/NºAsuntos!G19," - ")</f>
        <v>0.11951615815129085</v>
      </c>
      <c r="AO19" s="1032">
        <f>IF(ISNUMBER((NºAsuntos!C19+NºAsuntos!E19)/NºAsuntos!G19),(NºAsuntos!C19+NºAsuntos!E19)/NºAsuntos!G19," - ")</f>
        <v>2.6123849070229284</v>
      </c>
      <c r="AP19" s="1033" t="str">
        <f t="shared" si="2"/>
        <v xml:space="preserve"> - </v>
      </c>
      <c r="AQ19" s="1034">
        <f>IF(OR(ISNUMBER(FIND("01",Criterios!A8,1)),ISNUMBER(FIND("02",Criterios!A8,1)),ISNUMBER(FIND("03",Criterios!A8,1)),ISNUMBER(FIND("04",Criterios!A8,1))),(I19-W19+K19)/(F19-K19),(H19-W19+K19)/(F19-K19))</f>
        <v>-2.3575317604355717</v>
      </c>
      <c r="AR19" s="1035">
        <f>IF(ISNUMBER((Datos!P19-Datos!Q19)/(Datos!R19-Datos!P19+Datos!Q19)),(Datos!P19-Datos!Q19)/(Datos!R19-Datos!P19+Datos!Q19)," - ")</f>
        <v>-2.2335673261008295E-2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835.42583951738845</v>
      </c>
      <c r="G21" s="257">
        <f>IF(ISNUMBER(STDEV(G8:G18)),STDEV(G8:G18),"-")</f>
        <v>826.62052962650284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1972.0022058811192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160.55113411828228</v>
      </c>
      <c r="AJ21" s="256">
        <f t="shared" si="18"/>
        <v>0</v>
      </c>
      <c r="AK21" s="258">
        <f t="shared" si="18"/>
        <v>0</v>
      </c>
      <c r="AL21" s="253">
        <f t="shared" si="18"/>
        <v>0.23297713685516488</v>
      </c>
      <c r="AM21" s="254">
        <f t="shared" si="18"/>
        <v>3.80626245342942</v>
      </c>
      <c r="AN21" s="254">
        <f t="shared" si="18"/>
        <v>0.13748184604210653</v>
      </c>
      <c r="AO21" s="255">
        <f t="shared" si="18"/>
        <v>1.8503928634854636</v>
      </c>
      <c r="AP21" s="295" t="str">
        <f t="shared" si="18"/>
        <v>-</v>
      </c>
      <c r="AQ21" s="296">
        <f t="shared" si="18"/>
        <v>1.5874491873812344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Kcd/+GE4aTmU/oVHCxZcTaAYNXr5ziaeiyOxWxoSVN3zSbxxyWGLbDUmyB3o2laiLESjoOR0ZBa7D4ra7aHqA==" saltValue="xgNxSMDrPgbyyICT9684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FUENGIROLA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-5.3672316384180789E-2</v>
      </c>
      <c r="I9" s="359">
        <f>IF(ISNUMBER((Tasas!C9-Datos!BE9)/Datos!BE9),(Tasas!C9-Datos!BE9)/Datos!BE9," - ")</f>
        <v>0.61336698476285656</v>
      </c>
      <c r="J9" s="358">
        <f>IF(ISNUMBER((Tasas!D9-Datos!BF9)/Datos!BF9),(Tasas!D9-Datos!BF9)/Datos!BF9," - ")</f>
        <v>-0.52617126959796612</v>
      </c>
      <c r="K9" s="360">
        <f>IF(ISNUMBER((Tasas!E9-Datos!BG9)/Datos!BG9),(Tasas!E9-Datos!BG9)/Datos!BG9," - ")</f>
        <v>0.50623241941334285</v>
      </c>
      <c r="M9" t="e">
        <f>IF(Monitorios="SI",Datos!CE9,0)</f>
        <v>#REF!</v>
      </c>
      <c r="N9" t="e">
        <f>IF(Monitorios="SI",Datos!CF9,0)</f>
        <v>#REF!</v>
      </c>
      <c r="O9" t="e">
        <f>IF(Monitorios="SI",Datos!CG9,0)</f>
        <v>#REF!</v>
      </c>
      <c r="P9" t="e">
        <f>IF(Monitorios="SI",Datos!CH9,0)</f>
        <v>#REF!</v>
      </c>
      <c r="Q9">
        <f>IF(J_V="SI",0,Datos!AG9)</f>
        <v>103</v>
      </c>
      <c r="R9">
        <f>IF(J_V="SI",0,Datos!AH9)</f>
        <v>124</v>
      </c>
      <c r="S9">
        <f>IF(J_V="SI",0,Datos!AI9)</f>
        <v>142</v>
      </c>
      <c r="T9">
        <f>IF(J_V="SI",0,Datos!AJ9)</f>
        <v>68</v>
      </c>
    </row>
    <row r="10" spans="2:20" ht="14.25">
      <c r="B10" s="279" t="s">
        <v>249</v>
      </c>
      <c r="C10" s="7" t="str">
        <f>Datos!A10</f>
        <v>Jdos. Violencia contra la mujer</v>
      </c>
      <c r="D10" s="361">
        <f>IF(ISNUMBER((Datos!I10-Datos!S10)/Datos!S10),(Datos!I10-Datos!S10)/Datos!S10," - ")</f>
        <v>-0.22689075630252101</v>
      </c>
      <c r="E10" s="357">
        <f>IF(ISNUMBER((Datos!J10-Datos!T10)/Datos!T10),(Datos!J10-Datos!T10)/Datos!T10," - ")</f>
        <v>-0.4</v>
      </c>
      <c r="F10" s="357">
        <f>IF(ISNUMBER((Datos!K10-Datos!U10)/Datos!U10),(Datos!K10-Datos!U10)/Datos!U10," - ")</f>
        <v>0.36842105263157893</v>
      </c>
      <c r="G10" s="358">
        <f>IF(ISNUMBER((Datos!L10-Datos!V10)/Datos!V10),(Datos!L10-Datos!V10)/Datos!V10," - ")</f>
        <v>-0.19008264462809918</v>
      </c>
      <c r="H10" s="234">
        <f>IF(ISNUMBER((Datos!M10-Datos!W10)/Datos!W10),(Datos!M10-Datos!W10)/Datos!W10," - ")</f>
        <v>0.83333333333333337</v>
      </c>
      <c r="I10" s="359">
        <f>IF(ISNUMBER((Tasas!C10-Datos!BE10)/Datos!BE10),(Tasas!C10-Datos!BE10)/Datos!BE10," - ")</f>
        <v>-0.40813731722822633</v>
      </c>
      <c r="J10" s="358">
        <f>IF(ISNUMBER((Tasas!D10-Datos!BF10)/Datos!BF10),(Tasas!D10-Datos!BF10)/Datos!BF10," - ")</f>
        <v>0.33974358974358981</v>
      </c>
      <c r="K10" s="360">
        <f>IF(ISNUMBER((Tasas!E10-Datos!BG10)/Datos!BG10),(Tasas!E10-Datos!BG10)/Datos!BG10," - ")</f>
        <v>-0.46378621378621382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-3.888888888888889E-2</v>
      </c>
      <c r="I13" s="366">
        <f>IF(ISNUMBER((Tasas!C13-Datos!BE13)/Datos!BE13),(Tasas!C13-Datos!BE13)/Datos!BE13," - ")</f>
        <v>0.58914631896734015</v>
      </c>
      <c r="J13" s="364">
        <f>IF(ISNUMBER((Tasas!D13-Datos!BF13)/Datos!BF13),(Tasas!D13-Datos!BF13)/Datos!BF13," - ")</f>
        <v>-0.51702637889688252</v>
      </c>
      <c r="K13" s="367">
        <f>IF(ISNUMBER((Tasas!E13-Datos!BG13)/Datos!BG13),(Tasas!E13-Datos!BG13)/Datos!BG13," - ")</f>
        <v>0.48354606198860678</v>
      </c>
      <c r="M13" t="e">
        <f>IF(Monitorios="SI",Datos!CE13,0)</f>
        <v>#REF!</v>
      </c>
      <c r="N13" t="e">
        <f>IF(Monitorios="SI",Datos!CF13,0)</f>
        <v>#REF!</v>
      </c>
      <c r="O13" t="e">
        <f>IF(Monitorios="SI",Datos!CG13,0)</f>
        <v>#REF!</v>
      </c>
      <c r="P13" t="e">
        <f>IF(Monitorios="SI",Datos!CH13,0)</f>
        <v>#REF!</v>
      </c>
      <c r="Q13">
        <f>IF(J_V="SI",0,Datos!AG13)</f>
        <v>103</v>
      </c>
      <c r="R13">
        <f>IF(J_V="SI",0,Datos!AH13)</f>
        <v>124</v>
      </c>
      <c r="S13">
        <f>IF(J_V="SI",0,Datos!AI13)</f>
        <v>142</v>
      </c>
      <c r="T13">
        <f>IF(J_V="SI",0,Datos!AJ13)</f>
        <v>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0.25666666666666665</v>
      </c>
      <c r="E15" s="357">
        <f>IF(ISNUMBER(
   IF(D_I="SI",(Datos!J15-Datos!T15)/Datos!T15,(Datos!J15+Datos!AD15-(Datos!T15+Datos!AL15))/(Datos!T15+Datos!AL15))
     ),IF(D_I="SI",(Datos!J15-Datos!T15)/Datos!T15,(Datos!J15+Datos!AD15-(Datos!T15+Datos!AL15))/(Datos!T15+Datos!AL15))," - ")</f>
        <v>0.10689758136757241</v>
      </c>
      <c r="F15" s="357">
        <f>IF(ISNUMBER(
   IF(D_I="SI",(Datos!K15-Datos!U15)/Datos!U15,(Datos!K15+Datos!AE15-(Datos!U15+Datos!AM15))/(Datos!U15+Datos!AM15))
     ),IF(D_I="SI",(Datos!K15-Datos!U15)/Datos!U15,(Datos!K15+Datos!AE15-(Datos!U15+Datos!AM15))/(Datos!U15+Datos!AM15))," - ")</f>
        <v>9.8669965975873797E-2</v>
      </c>
      <c r="G15" s="358">
        <f>IF(ISNUMBER(
   IF(D_I="SI",(Datos!L15-Datos!V15)/Datos!V15,(Datos!L15+Datos!AF15-(Datos!V15+Datos!AN15))/(Datos!V15+Datos!AN15))
     ),IF(D_I="SI",(Datos!L15-Datos!V15)/Datos!V15,(Datos!L15+Datos!AF15-(Datos!V15+Datos!AN15))/(Datos!V15+Datos!AN15))," - ")</f>
        <v>0.23640319071791152</v>
      </c>
      <c r="H15" s="234">
        <f>IF(ISNUMBER((Datos!M15-Datos!W15)/Datos!W15),(Datos!M15-Datos!W15)/Datos!W15," - ")</f>
        <v>-7.7399380804953566E-2</v>
      </c>
      <c r="I15" s="359">
        <f>IF(ISNUMBER((Tasas!C15-Datos!BE15)/Datos!BE15),(Tasas!C15-Datos!BE15)/Datos!BE15," - ")</f>
        <v>0.12536360236233324</v>
      </c>
      <c r="J15" s="358">
        <f>IF(ISNUMBER((Tasas!D15-Datos!BF15)/Datos!BF15),(Tasas!D15-Datos!BF15)/Datos!BF15," - ")</f>
        <v>-0.16025681254009422</v>
      </c>
      <c r="K15" s="360">
        <f>IF(ISNUMBER((Tasas!E15-Datos!BG15)/Datos!BG15),(Tasas!E15-Datos!BG15)/Datos!BG15," - ")</f>
        <v>4.3448750740188335E-2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-1.4336917562724014E-2</v>
      </c>
      <c r="E17" s="357">
        <f>IF(ISNUMBER(
   IF(D_I="SI",(Datos!J17-Datos!T17)/Datos!T17,(Datos!J17+Datos!AD17-(Datos!T17+Datos!AL17))/(Datos!T17+Datos!AL17))
     ),IF(D_I="SI",(Datos!J17-Datos!T17)/Datos!T17,(Datos!J17+Datos!AD17-(Datos!T17+Datos!AL17))/(Datos!T17+Datos!AL17))," - ")</f>
        <v>5.4794520547945202E-2</v>
      </c>
      <c r="F17" s="357">
        <f>IF(ISNUMBER(
   IF(D_I="SI",(Datos!K17-Datos!U17)/Datos!U17,(Datos!K17+Datos!AE17-(Datos!U17+Datos!AM17))/(Datos!U17+Datos!AM17))
     ),IF(D_I="SI",(Datos!K17-Datos!U17)/Datos!U17,(Datos!K17+Datos!AE17-(Datos!U17+Datos!AM17))/(Datos!U17+Datos!AM17))," - ")</f>
        <v>0.18148148148148149</v>
      </c>
      <c r="G17" s="358">
        <f>IF(ISNUMBER(
   IF(D_I="SI",(Datos!L17-Datos!V17)/Datos!V17,(Datos!L17+Datos!AF17-(Datos!V17+Datos!AN17))/(Datos!V17+Datos!AN17))
     ),IF(D_I="SI",(Datos!L17-Datos!V17)/Datos!V17,(Datos!L17+Datos!AF17-(Datos!V17+Datos!AN17))/(Datos!V17+Datos!AN17))," - ")</f>
        <v>-0.12786885245901639</v>
      </c>
      <c r="H17" s="234">
        <f>IF(ISNUMBER((Datos!M17-Datos!W17)/Datos!W17),(Datos!M17-Datos!W17)/Datos!W17," - ")</f>
        <v>-0.1</v>
      </c>
      <c r="I17" s="359">
        <f>IF(ISNUMBER((Tasas!C17-Datos!BE17)/Datos!BE17),(Tasas!C17-Datos!BE17)/Datos!BE17," - ")</f>
        <v>-0.26183257104681629</v>
      </c>
      <c r="J17" s="358">
        <f>IF(ISNUMBER((Tasas!D17-Datos!BF17)/Datos!BF17),(Tasas!D17-Datos!BF17)/Datos!BF17," - ")</f>
        <v>-0.23824451410658298</v>
      </c>
      <c r="K17" s="360">
        <f>IF(ISNUMBER((Tasas!E17-Datos!BG17)/Datos!BG17),(Tasas!E17-Datos!BG17)/Datos!BG17," - ")</f>
        <v>-0.13581738027658666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0.20554428668018931</v>
      </c>
      <c r="E18" s="363">
        <f>IF(ISNUMBER(
   IF(D_I="SI",(Datos!J18-Datos!T18)/Datos!T18,(Datos!J18+Datos!AD18-(Datos!T18+Datos!AL18))/(Datos!T18+Datos!AL18))
     ),IF(D_I="SI",(Datos!J18-Datos!T18)/Datos!T18,(Datos!J18+Datos!AD18-(Datos!T18+Datos!AL18))/(Datos!T18+Datos!AL18))," - ")</f>
        <v>0.1027190332326284</v>
      </c>
      <c r="F18" s="363">
        <f>IF(ISNUMBER(
   IF(D_I="SI",(Datos!K18-Datos!U18)/Datos!U18,(Datos!K18+Datos!AE18-(Datos!U18+Datos!AM18))/(Datos!U18+Datos!AM18))
     ),IF(D_I="SI",(Datos!K18-Datos!U18)/Datos!U18,(Datos!K18+Datos!AE18-(Datos!U18+Datos!AM18))/(Datos!U18+Datos!AM18))," - ")</f>
        <v>0.10505281187553525</v>
      </c>
      <c r="G18" s="364">
        <f>IF(ISNUMBER(
   IF(D_I="SI",(Datos!L18-Datos!V18)/Datos!V18,(Datos!L18+Datos!AF18-(Datos!V18+Datos!AN18))/(Datos!V18+Datos!AN18))
     ),IF(D_I="SI",(Datos!L18-Datos!V18)/Datos!V18,(Datos!L18+Datos!AF18-(Datos!V18+Datos!AN18))/(Datos!V18+Datos!AN18))," - ")</f>
        <v>0.17042755344418054</v>
      </c>
      <c r="H18" s="365">
        <f>IF(ISNUMBER((Datos!M18-Datos!W18)/Datos!W18),(Datos!M18-Datos!W18)/Datos!W18," - ")</f>
        <v>-7.8717201166180764E-2</v>
      </c>
      <c r="I18" s="366">
        <f>IF(ISNUMBER((Tasas!C18-Datos!BE18)/Datos!BE18),(Tasas!C18-Datos!BE18)/Datos!BE18," - ")</f>
        <v>5.9159834594410848E-2</v>
      </c>
      <c r="J18" s="364">
        <f>IF(ISNUMBER((Tasas!D18-Datos!BF18)/Datos!BF18),(Tasas!D18-Datos!BF18)/Datos!BF18," - ")</f>
        <v>-0.16629975605402517</v>
      </c>
      <c r="K18" s="367">
        <f>IF(ISNUMBER((Tasas!E18-Datos!BG18)/Datos!BG18),(Tasas!E18-Datos!BG18)/Datos!BG18," - ")</f>
        <v>2.4767199205631599E-2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0.20428462127008415</v>
      </c>
      <c r="E19" s="372">
        <f>IF(ISNUMBER(
   IF(J_V="SI",(Datos!J19-Datos!T19)/Datos!T19,(Datos!J19+Datos!Z19-(Datos!T19+Datos!AH19))/(Datos!T19+Datos!AH19))
     ),IF(J_V="SI",(Datos!J19-Datos!T19)/Datos!T19,(Datos!J19+Datos!Z19-(Datos!T19+Datos!AH19))/(Datos!T19+Datos!AH19))," - ")</f>
        <v>0.16959064327485379</v>
      </c>
      <c r="F19" s="372">
        <f>IF(ISNUMBER(
   IF(J_V="SI",(Datos!K19-Datos!U19)/Datos!U19,(Datos!K19+Datos!AA19-(Datos!U19+Datos!AI19))/(Datos!U19+Datos!AI19))
     ),IF(J_V="SI",(Datos!K19-Datos!U19)/Datos!U19,(Datos!K19+Datos!AA19-(Datos!U19+Datos!AI19))/(Datos!U19+Datos!AI19))," - ")</f>
        <v>3.9876744607576578E-3</v>
      </c>
      <c r="G19" s="373">
        <f>IF(ISNUMBER(
   IF(J_V="SI",(Datos!L19-Datos!V19)/Datos!V19,(Datos!L19+Datos!AB19-(Datos!V19+Datos!AJ19))/(Datos!V19+Datos!AJ19))
     ),IF(J_V="SI",(Datos!L19-Datos!V19)/Datos!V19,(Datos!L19+Datos!AB19-(Datos!V19+Datos!AJ19))/(Datos!V19+Datos!AJ19))," - ")</f>
        <v>0.28115198175078415</v>
      </c>
      <c r="H19" s="374">
        <f>IF(ISNUMBER((Datos!M19-Datos!W19)/Datos!W19),(Datos!M19-Datos!W19)/Datos!W19," - ")</f>
        <v>-5.8321479374110953E-2</v>
      </c>
      <c r="I19" s="371">
        <f>IF(ISNUMBER((Tasas!C19-Datos!BE19)/Datos!BE19),(Tasas!C19-Datos!BE19)/Datos!BE19," - ")</f>
        <v>0.27606345609660166</v>
      </c>
      <c r="J19" s="372">
        <f>IF(ISNUMBER((Tasas!D19-Datos!BF19)/Datos!BF19),(Tasas!D19-Datos!BF19)/Datos!BF19," - ")</f>
        <v>-0.45416337374116589</v>
      </c>
      <c r="K19" s="373">
        <f>IF(ISNUMBER((Tasas!E19-Datos!BG19)/Datos!BG19),(Tasas!E19-Datos!BG19)/Datos!BG19," - ")</f>
        <v>0.18348887600964817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0.22181282771198785</v>
      </c>
      <c r="E21" s="282">
        <f t="shared" si="1"/>
        <v>0.24521055381352586</v>
      </c>
      <c r="F21" s="282">
        <f t="shared" si="1"/>
        <v>0.12576920383931392</v>
      </c>
      <c r="G21" s="283">
        <f t="shared" si="1"/>
        <v>0.21247666117515318</v>
      </c>
      <c r="H21" s="289">
        <f t="shared" si="1"/>
        <v>0.36929014875896765</v>
      </c>
      <c r="I21" s="281">
        <f t="shared" si="1"/>
        <v>0.42236554037474849</v>
      </c>
      <c r="J21" s="282">
        <f t="shared" si="1"/>
        <v>0.31673900114296555</v>
      </c>
      <c r="K21" s="283">
        <f t="shared" si="1"/>
        <v>0.37178297905077939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NFrY4CqNU7MQymlF8ffLG2kGumdnKdL3SCXOtY46MxMyRvO4XVH73U/rdzEHBwmf1avVKX/SGiL6kzHbpKvXQ==" saltValue="rib/QXOh3s02rRYbqMXk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